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Рабочий стол\"/>
    </mc:Choice>
  </mc:AlternateContent>
  <xr:revisionPtr revIDLastSave="0" documentId="13_ncr:1_{6D2526B3-3AB6-4F9C-893D-DF839CF1FEDD}" xr6:coauthVersionLast="44" xr6:coauthVersionMax="44" xr10:uidLastSave="{00000000-0000-0000-0000-000000000000}"/>
  <bookViews>
    <workbookView xWindow="-90" yWindow="-90" windowWidth="19380" windowHeight="10380" xr2:uid="{00000000-000D-0000-FFFF-FFFF00000000}"/>
  </bookViews>
  <sheets>
    <sheet name="Интернат и 7-1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4" i="5" l="1"/>
  <c r="N364" i="5"/>
  <c r="M364" i="5"/>
  <c r="L364" i="5"/>
  <c r="K364" i="5"/>
  <c r="J364" i="5"/>
  <c r="I364" i="5"/>
  <c r="H364" i="5"/>
  <c r="C364" i="5"/>
  <c r="G360" i="5"/>
  <c r="G364" i="5" s="1"/>
  <c r="F360" i="5"/>
  <c r="F364" i="5" s="1"/>
  <c r="E360" i="5"/>
  <c r="E364" i="5" s="1"/>
  <c r="D360" i="5"/>
  <c r="D364" i="5" s="1"/>
  <c r="C358" i="5"/>
  <c r="O351" i="5"/>
  <c r="N351" i="5"/>
  <c r="M351" i="5"/>
  <c r="L351" i="5"/>
  <c r="K351" i="5"/>
  <c r="J351" i="5"/>
  <c r="I351" i="5"/>
  <c r="H351" i="5"/>
  <c r="C351" i="5"/>
  <c r="G351" i="5"/>
  <c r="F351" i="5"/>
  <c r="E351" i="5"/>
  <c r="D351" i="5"/>
  <c r="O343" i="5"/>
  <c r="N343" i="5"/>
  <c r="M343" i="5"/>
  <c r="L343" i="5"/>
  <c r="K343" i="5"/>
  <c r="J343" i="5"/>
  <c r="I343" i="5"/>
  <c r="H343" i="5"/>
  <c r="C343" i="5"/>
  <c r="G340" i="5"/>
  <c r="F340" i="5"/>
  <c r="E340" i="5"/>
  <c r="E343" i="5" s="1"/>
  <c r="D340" i="5"/>
  <c r="D343" i="5" s="1"/>
  <c r="O338" i="5"/>
  <c r="N338" i="5"/>
  <c r="M338" i="5"/>
  <c r="L338" i="5"/>
  <c r="K338" i="5"/>
  <c r="J338" i="5"/>
  <c r="I338" i="5"/>
  <c r="H338" i="5"/>
  <c r="C338" i="5"/>
  <c r="G336" i="5"/>
  <c r="G338" i="5" s="1"/>
  <c r="F336" i="5"/>
  <c r="F338" i="5" s="1"/>
  <c r="E336" i="5"/>
  <c r="E338" i="5" s="1"/>
  <c r="D336" i="5"/>
  <c r="D338" i="5" s="1"/>
  <c r="O333" i="5"/>
  <c r="N333" i="5"/>
  <c r="M333" i="5"/>
  <c r="L333" i="5"/>
  <c r="K333" i="5"/>
  <c r="J333" i="5"/>
  <c r="I333" i="5"/>
  <c r="H333" i="5"/>
  <c r="C333" i="5"/>
  <c r="G329" i="5"/>
  <c r="G333" i="5" s="1"/>
  <c r="F329" i="5"/>
  <c r="F333" i="5" s="1"/>
  <c r="E329" i="5"/>
  <c r="E333" i="5" s="1"/>
  <c r="D329" i="5"/>
  <c r="D333" i="5" s="1"/>
  <c r="O327" i="5"/>
  <c r="N327" i="5"/>
  <c r="M327" i="5"/>
  <c r="L327" i="5"/>
  <c r="K327" i="5"/>
  <c r="J327" i="5"/>
  <c r="I327" i="5"/>
  <c r="H327" i="5"/>
  <c r="C327" i="5"/>
  <c r="F322" i="5"/>
  <c r="E322" i="5"/>
  <c r="D322" i="5"/>
  <c r="G321" i="5"/>
  <c r="G327" i="5" s="1"/>
  <c r="F327" i="5"/>
  <c r="E327" i="5"/>
  <c r="D327" i="5"/>
  <c r="O319" i="5"/>
  <c r="N319" i="5"/>
  <c r="M319" i="5"/>
  <c r="L319" i="5"/>
  <c r="K319" i="5"/>
  <c r="J319" i="5"/>
  <c r="I319" i="5"/>
  <c r="H319" i="5"/>
  <c r="C319" i="5"/>
  <c r="E319" i="5"/>
  <c r="D319" i="5"/>
  <c r="O311" i="5"/>
  <c r="N311" i="5"/>
  <c r="M311" i="5"/>
  <c r="L311" i="5"/>
  <c r="K311" i="5"/>
  <c r="J311" i="5"/>
  <c r="I311" i="5"/>
  <c r="H311" i="5"/>
  <c r="C311" i="5"/>
  <c r="E311" i="5"/>
  <c r="D311" i="5"/>
  <c r="O305" i="5"/>
  <c r="N305" i="5"/>
  <c r="M305" i="5"/>
  <c r="L305" i="5"/>
  <c r="K305" i="5"/>
  <c r="J305" i="5"/>
  <c r="I305" i="5"/>
  <c r="H305" i="5"/>
  <c r="C305" i="5"/>
  <c r="G303" i="5"/>
  <c r="G305" i="5" s="1"/>
  <c r="F303" i="5"/>
  <c r="F305" i="5" s="1"/>
  <c r="E303" i="5"/>
  <c r="E305" i="5" s="1"/>
  <c r="D303" i="5"/>
  <c r="D305" i="5" s="1"/>
  <c r="O300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O294" i="5"/>
  <c r="N294" i="5"/>
  <c r="M294" i="5"/>
  <c r="L294" i="5"/>
  <c r="K294" i="5"/>
  <c r="J294" i="5"/>
  <c r="I294" i="5"/>
  <c r="H294" i="5"/>
  <c r="C294" i="5"/>
  <c r="G294" i="5"/>
  <c r="F294" i="5"/>
  <c r="E294" i="5"/>
  <c r="D294" i="5"/>
  <c r="O287" i="5"/>
  <c r="N287" i="5"/>
  <c r="M287" i="5"/>
  <c r="L287" i="5"/>
  <c r="K287" i="5"/>
  <c r="J287" i="5"/>
  <c r="I287" i="5"/>
  <c r="H287" i="5"/>
  <c r="C287" i="5"/>
  <c r="G287" i="5"/>
  <c r="F287" i="5"/>
  <c r="E287" i="5"/>
  <c r="D287" i="5"/>
  <c r="O279" i="5"/>
  <c r="N279" i="5"/>
  <c r="M279" i="5"/>
  <c r="L279" i="5"/>
  <c r="K279" i="5"/>
  <c r="J279" i="5"/>
  <c r="I279" i="5"/>
  <c r="H279" i="5"/>
  <c r="C279" i="5"/>
  <c r="G279" i="5"/>
  <c r="F279" i="5"/>
  <c r="E279" i="5"/>
  <c r="D279" i="5"/>
  <c r="O273" i="5"/>
  <c r="N273" i="5"/>
  <c r="M273" i="5"/>
  <c r="L273" i="5"/>
  <c r="K273" i="5"/>
  <c r="J273" i="5"/>
  <c r="I273" i="5"/>
  <c r="H273" i="5"/>
  <c r="C273" i="5"/>
  <c r="G272" i="5"/>
  <c r="G271" i="5"/>
  <c r="F271" i="5"/>
  <c r="E271" i="5"/>
  <c r="E273" i="5" s="1"/>
  <c r="D271" i="5"/>
  <c r="D273" i="5" s="1"/>
  <c r="O268" i="5"/>
  <c r="N268" i="5"/>
  <c r="M268" i="5"/>
  <c r="L268" i="5"/>
  <c r="K268" i="5"/>
  <c r="J268" i="5"/>
  <c r="I268" i="5"/>
  <c r="H268" i="5"/>
  <c r="C268" i="5"/>
  <c r="G266" i="5"/>
  <c r="F266" i="5"/>
  <c r="G265" i="5"/>
  <c r="F265" i="5"/>
  <c r="E265" i="5"/>
  <c r="E268" i="5" s="1"/>
  <c r="D265" i="5"/>
  <c r="D268" i="5" s="1"/>
  <c r="O263" i="5"/>
  <c r="N263" i="5"/>
  <c r="M263" i="5"/>
  <c r="L263" i="5"/>
  <c r="K263" i="5"/>
  <c r="J263" i="5"/>
  <c r="I263" i="5"/>
  <c r="H263" i="5"/>
  <c r="C263" i="5"/>
  <c r="G263" i="5"/>
  <c r="F263" i="5"/>
  <c r="E263" i="5"/>
  <c r="D263" i="5"/>
  <c r="O256" i="5"/>
  <c r="N256" i="5"/>
  <c r="M256" i="5"/>
  <c r="L256" i="5"/>
  <c r="K256" i="5"/>
  <c r="J256" i="5"/>
  <c r="I256" i="5"/>
  <c r="H256" i="5"/>
  <c r="C256" i="5"/>
  <c r="G254" i="5"/>
  <c r="F254" i="5"/>
  <c r="F256" i="5" s="1"/>
  <c r="E256" i="5"/>
  <c r="D256" i="5"/>
  <c r="O248" i="5"/>
  <c r="N248" i="5"/>
  <c r="M248" i="5"/>
  <c r="L248" i="5"/>
  <c r="K248" i="5"/>
  <c r="J248" i="5"/>
  <c r="I248" i="5"/>
  <c r="H248" i="5"/>
  <c r="C248" i="5"/>
  <c r="G248" i="5"/>
  <c r="F248" i="5"/>
  <c r="E248" i="5"/>
  <c r="D248" i="5"/>
  <c r="O242" i="5"/>
  <c r="N242" i="5"/>
  <c r="M242" i="5"/>
  <c r="L242" i="5"/>
  <c r="K242" i="5"/>
  <c r="J242" i="5"/>
  <c r="I242" i="5"/>
  <c r="H242" i="5"/>
  <c r="C242" i="5"/>
  <c r="G241" i="5"/>
  <c r="F241" i="5"/>
  <c r="G240" i="5"/>
  <c r="F240" i="5"/>
  <c r="E240" i="5"/>
  <c r="E242" i="5" s="1"/>
  <c r="D240" i="5"/>
  <c r="D242" i="5" s="1"/>
  <c r="O237" i="5"/>
  <c r="N237" i="5"/>
  <c r="M237" i="5"/>
  <c r="L237" i="5"/>
  <c r="K237" i="5"/>
  <c r="J237" i="5"/>
  <c r="I237" i="5"/>
  <c r="H237" i="5"/>
  <c r="C237" i="5"/>
  <c r="E237" i="5"/>
  <c r="D237" i="5"/>
  <c r="O231" i="5"/>
  <c r="N231" i="5"/>
  <c r="M231" i="5"/>
  <c r="L231" i="5"/>
  <c r="K231" i="5"/>
  <c r="J231" i="5"/>
  <c r="I231" i="5"/>
  <c r="H231" i="5"/>
  <c r="C231" i="5"/>
  <c r="G228" i="5"/>
  <c r="F228" i="5"/>
  <c r="E231" i="5"/>
  <c r="D231" i="5"/>
  <c r="O223" i="5"/>
  <c r="N223" i="5"/>
  <c r="M223" i="5"/>
  <c r="L223" i="5"/>
  <c r="K223" i="5"/>
  <c r="J223" i="5"/>
  <c r="I223" i="5"/>
  <c r="H223" i="5"/>
  <c r="E223" i="5"/>
  <c r="C223" i="5"/>
  <c r="G221" i="5"/>
  <c r="G223" i="5" s="1"/>
  <c r="F221" i="5"/>
  <c r="F223" i="5" s="1"/>
  <c r="O215" i="5"/>
  <c r="N215" i="5"/>
  <c r="M215" i="5"/>
  <c r="L215" i="5"/>
  <c r="K215" i="5"/>
  <c r="J215" i="5"/>
  <c r="I215" i="5"/>
  <c r="H215" i="5"/>
  <c r="C215" i="5"/>
  <c r="G215" i="5"/>
  <c r="F215" i="5"/>
  <c r="E215" i="5"/>
  <c r="D215" i="5"/>
  <c r="O210" i="5"/>
  <c r="N210" i="5"/>
  <c r="M210" i="5"/>
  <c r="L210" i="5"/>
  <c r="K210" i="5"/>
  <c r="J210" i="5"/>
  <c r="I210" i="5"/>
  <c r="H210" i="5"/>
  <c r="C210" i="5"/>
  <c r="G208" i="5"/>
  <c r="G210" i="5" s="1"/>
  <c r="F208" i="5"/>
  <c r="F210" i="5" s="1"/>
  <c r="E208" i="5"/>
  <c r="E210" i="5" s="1"/>
  <c r="D208" i="5"/>
  <c r="D210" i="5" s="1"/>
  <c r="O205" i="5"/>
  <c r="N205" i="5"/>
  <c r="M205" i="5"/>
  <c r="L205" i="5"/>
  <c r="K205" i="5"/>
  <c r="J205" i="5"/>
  <c r="I205" i="5"/>
  <c r="H205" i="5"/>
  <c r="C205" i="5"/>
  <c r="G202" i="5"/>
  <c r="F202" i="5"/>
  <c r="F205" i="5" s="1"/>
  <c r="E202" i="5"/>
  <c r="E205" i="5" s="1"/>
  <c r="D202" i="5"/>
  <c r="D205" i="5" s="1"/>
  <c r="O200" i="5"/>
  <c r="N200" i="5"/>
  <c r="M200" i="5"/>
  <c r="L200" i="5"/>
  <c r="K200" i="5"/>
  <c r="J200" i="5"/>
  <c r="I200" i="5"/>
  <c r="H200" i="5"/>
  <c r="C200" i="5"/>
  <c r="G195" i="5"/>
  <c r="F195" i="5"/>
  <c r="E195" i="5"/>
  <c r="D195" i="5"/>
  <c r="G194" i="5"/>
  <c r="G200" i="5" s="1"/>
  <c r="F194" i="5"/>
  <c r="F200" i="5" s="1"/>
  <c r="E194" i="5"/>
  <c r="E200" i="5" s="1"/>
  <c r="D194" i="5"/>
  <c r="D200" i="5" s="1"/>
  <c r="O184" i="5"/>
  <c r="N184" i="5"/>
  <c r="M184" i="5"/>
  <c r="L184" i="5"/>
  <c r="K184" i="5"/>
  <c r="J184" i="5"/>
  <c r="I184" i="5"/>
  <c r="H184" i="5"/>
  <c r="C184" i="5"/>
  <c r="G184" i="5"/>
  <c r="F184" i="5"/>
  <c r="E184" i="5"/>
  <c r="D184" i="5"/>
  <c r="O178" i="5"/>
  <c r="N178" i="5"/>
  <c r="M178" i="5"/>
  <c r="L178" i="5"/>
  <c r="K178" i="5"/>
  <c r="J178" i="5"/>
  <c r="I178" i="5"/>
  <c r="H178" i="5"/>
  <c r="E178" i="5"/>
  <c r="D178" i="5"/>
  <c r="C178" i="5"/>
  <c r="G177" i="5"/>
  <c r="G178" i="5" s="1"/>
  <c r="F177" i="5"/>
  <c r="F178" i="5" s="1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O167" i="5"/>
  <c r="N167" i="5"/>
  <c r="M167" i="5"/>
  <c r="L167" i="5"/>
  <c r="K167" i="5"/>
  <c r="J167" i="5"/>
  <c r="I167" i="5"/>
  <c r="H167" i="5"/>
  <c r="C167" i="5"/>
  <c r="G162" i="5"/>
  <c r="F162" i="5"/>
  <c r="E162" i="5"/>
  <c r="D162" i="5"/>
  <c r="G161" i="5"/>
  <c r="G167" i="5" s="1"/>
  <c r="F161" i="5"/>
  <c r="F167" i="5" s="1"/>
  <c r="E161" i="5"/>
  <c r="E167" i="5" s="1"/>
  <c r="D161" i="5"/>
  <c r="D167" i="5" s="1"/>
  <c r="O159" i="5"/>
  <c r="N159" i="5"/>
  <c r="M159" i="5"/>
  <c r="L159" i="5"/>
  <c r="K159" i="5"/>
  <c r="J159" i="5"/>
  <c r="I159" i="5"/>
  <c r="H159" i="5"/>
  <c r="E159" i="5"/>
  <c r="D159" i="5"/>
  <c r="G159" i="5"/>
  <c r="F159" i="5"/>
  <c r="O151" i="5"/>
  <c r="N151" i="5"/>
  <c r="M151" i="5"/>
  <c r="L151" i="5"/>
  <c r="K151" i="5"/>
  <c r="J151" i="5"/>
  <c r="I151" i="5"/>
  <c r="H151" i="5"/>
  <c r="C151" i="5"/>
  <c r="G151" i="5"/>
  <c r="F151" i="5"/>
  <c r="E151" i="5"/>
  <c r="D151" i="5"/>
  <c r="O145" i="5"/>
  <c r="N145" i="5"/>
  <c r="M145" i="5"/>
  <c r="L145" i="5"/>
  <c r="K145" i="5"/>
  <c r="J145" i="5"/>
  <c r="I145" i="5"/>
  <c r="H145" i="5"/>
  <c r="C145" i="5"/>
  <c r="G143" i="5"/>
  <c r="G145" i="5" s="1"/>
  <c r="F143" i="5"/>
  <c r="F145" i="5" s="1"/>
  <c r="E143" i="5"/>
  <c r="E145" i="5" s="1"/>
  <c r="D143" i="5"/>
  <c r="D145" i="5" s="1"/>
  <c r="O139" i="5"/>
  <c r="N139" i="5"/>
  <c r="M139" i="5"/>
  <c r="L139" i="5"/>
  <c r="K139" i="5"/>
  <c r="J139" i="5"/>
  <c r="I139" i="5"/>
  <c r="H139" i="5"/>
  <c r="C139" i="5"/>
  <c r="G135" i="5"/>
  <c r="G139" i="5" s="1"/>
  <c r="F135" i="5"/>
  <c r="F139" i="5" s="1"/>
  <c r="E135" i="5"/>
  <c r="E139" i="5" s="1"/>
  <c r="D135" i="5"/>
  <c r="D139" i="5" s="1"/>
  <c r="O133" i="5"/>
  <c r="N133" i="5"/>
  <c r="M133" i="5"/>
  <c r="L133" i="5"/>
  <c r="K133" i="5"/>
  <c r="J133" i="5"/>
  <c r="I133" i="5"/>
  <c r="H133" i="5"/>
  <c r="C133" i="5"/>
  <c r="G133" i="5"/>
  <c r="F133" i="5"/>
  <c r="E133" i="5"/>
  <c r="D133" i="5"/>
  <c r="O124" i="5"/>
  <c r="N124" i="5"/>
  <c r="M124" i="5"/>
  <c r="L124" i="5"/>
  <c r="K124" i="5"/>
  <c r="J124" i="5"/>
  <c r="I124" i="5"/>
  <c r="H124" i="5"/>
  <c r="C124" i="5"/>
  <c r="D122" i="5"/>
  <c r="E124" i="5"/>
  <c r="D124" i="5"/>
  <c r="O115" i="5"/>
  <c r="N115" i="5"/>
  <c r="M115" i="5"/>
  <c r="L115" i="5"/>
  <c r="K115" i="5"/>
  <c r="J115" i="5"/>
  <c r="I115" i="5"/>
  <c r="H115" i="5"/>
  <c r="C115" i="5"/>
  <c r="G115" i="5"/>
  <c r="F115" i="5"/>
  <c r="E115" i="5"/>
  <c r="D115" i="5"/>
  <c r="O109" i="5"/>
  <c r="N109" i="5"/>
  <c r="M109" i="5"/>
  <c r="L109" i="5"/>
  <c r="K109" i="5"/>
  <c r="J109" i="5"/>
  <c r="I109" i="5"/>
  <c r="H109" i="5"/>
  <c r="C109" i="5"/>
  <c r="G106" i="5"/>
  <c r="F106" i="5"/>
  <c r="F109" i="5" s="1"/>
  <c r="E106" i="5"/>
  <c r="E109" i="5" s="1"/>
  <c r="D106" i="5"/>
  <c r="D109" i="5" s="1"/>
  <c r="O103" i="5"/>
  <c r="N103" i="5"/>
  <c r="M103" i="5"/>
  <c r="L103" i="5"/>
  <c r="K103" i="5"/>
  <c r="J103" i="5"/>
  <c r="I103" i="5"/>
  <c r="H103" i="5"/>
  <c r="C103" i="5"/>
  <c r="G101" i="5"/>
  <c r="F101" i="5"/>
  <c r="D101" i="5"/>
  <c r="G99" i="5"/>
  <c r="F99" i="5"/>
  <c r="E99" i="5"/>
  <c r="E103" i="5" s="1"/>
  <c r="D99" i="5"/>
  <c r="D103" i="5" s="1"/>
  <c r="O97" i="5"/>
  <c r="N97" i="5"/>
  <c r="M97" i="5"/>
  <c r="L97" i="5"/>
  <c r="K97" i="5"/>
  <c r="J97" i="5"/>
  <c r="I97" i="5"/>
  <c r="H97" i="5"/>
  <c r="C97" i="5"/>
  <c r="G94" i="5"/>
  <c r="F94" i="5"/>
  <c r="G93" i="5"/>
  <c r="F93" i="5"/>
  <c r="E93" i="5"/>
  <c r="D93" i="5"/>
  <c r="G91" i="5"/>
  <c r="F91" i="5"/>
  <c r="E91" i="5"/>
  <c r="E97" i="5" s="1"/>
  <c r="D91" i="5"/>
  <c r="D97" i="5" s="1"/>
  <c r="O89" i="5"/>
  <c r="N89" i="5"/>
  <c r="M89" i="5"/>
  <c r="L89" i="5"/>
  <c r="K89" i="5"/>
  <c r="J89" i="5"/>
  <c r="I89" i="5"/>
  <c r="H89" i="5"/>
  <c r="C89" i="5"/>
  <c r="G89" i="5"/>
  <c r="F89" i="5"/>
  <c r="D89" i="5"/>
  <c r="O81" i="5"/>
  <c r="N81" i="5"/>
  <c r="M81" i="5"/>
  <c r="L81" i="5"/>
  <c r="K81" i="5"/>
  <c r="J81" i="5"/>
  <c r="I81" i="5"/>
  <c r="H81" i="5"/>
  <c r="C81" i="5"/>
  <c r="E81" i="5"/>
  <c r="D81" i="5"/>
  <c r="O75" i="5"/>
  <c r="N75" i="5"/>
  <c r="M75" i="5"/>
  <c r="L75" i="5"/>
  <c r="K75" i="5"/>
  <c r="J75" i="5"/>
  <c r="I75" i="5"/>
  <c r="H75" i="5"/>
  <c r="C75" i="5"/>
  <c r="G75" i="5"/>
  <c r="E75" i="5"/>
  <c r="D75" i="5"/>
  <c r="O69" i="5"/>
  <c r="N69" i="5"/>
  <c r="M69" i="5"/>
  <c r="L69" i="5"/>
  <c r="K69" i="5"/>
  <c r="J69" i="5"/>
  <c r="I69" i="5"/>
  <c r="H69" i="5"/>
  <c r="E69" i="5"/>
  <c r="C69" i="5"/>
  <c r="G69" i="5"/>
  <c r="F69" i="5"/>
  <c r="D69" i="5"/>
  <c r="O63" i="5"/>
  <c r="N63" i="5"/>
  <c r="M63" i="5"/>
  <c r="L63" i="5"/>
  <c r="K63" i="5"/>
  <c r="J63" i="5"/>
  <c r="I63" i="5"/>
  <c r="H63" i="5"/>
  <c r="C63" i="5"/>
  <c r="G58" i="5"/>
  <c r="F58" i="5"/>
  <c r="E58" i="5"/>
  <c r="D58" i="5"/>
  <c r="G57" i="5"/>
  <c r="G63" i="5" s="1"/>
  <c r="F57" i="5"/>
  <c r="F63" i="5" s="1"/>
  <c r="E57" i="5"/>
  <c r="E63" i="5" s="1"/>
  <c r="D57" i="5"/>
  <c r="D63" i="5" s="1"/>
  <c r="O55" i="5"/>
  <c r="N55" i="5"/>
  <c r="M55" i="5"/>
  <c r="L55" i="5"/>
  <c r="K55" i="5"/>
  <c r="J55" i="5"/>
  <c r="I55" i="5"/>
  <c r="H55" i="5"/>
  <c r="C55" i="5"/>
  <c r="G55" i="5"/>
  <c r="F55" i="5"/>
  <c r="E55" i="5"/>
  <c r="D55" i="5"/>
  <c r="O47" i="5"/>
  <c r="N47" i="5"/>
  <c r="M47" i="5"/>
  <c r="L47" i="5"/>
  <c r="K47" i="5"/>
  <c r="J47" i="5"/>
  <c r="I47" i="5"/>
  <c r="H47" i="5"/>
  <c r="C47" i="5"/>
  <c r="G44" i="5"/>
  <c r="G47" i="5" s="1"/>
  <c r="F47" i="5"/>
  <c r="E47" i="5"/>
  <c r="D47" i="5"/>
  <c r="O42" i="5"/>
  <c r="N42" i="5"/>
  <c r="M42" i="5"/>
  <c r="L42" i="5"/>
  <c r="K42" i="5"/>
  <c r="J42" i="5"/>
  <c r="I42" i="5"/>
  <c r="H42" i="5"/>
  <c r="C42" i="5"/>
  <c r="G42" i="5"/>
  <c r="F42" i="5"/>
  <c r="E42" i="5"/>
  <c r="D42" i="5"/>
  <c r="F97" i="5" l="1"/>
  <c r="G343" i="5"/>
  <c r="G205" i="5"/>
  <c r="E89" i="5"/>
  <c r="G231" i="5"/>
  <c r="G237" i="5"/>
  <c r="F343" i="5"/>
  <c r="G319" i="5"/>
  <c r="G97" i="5"/>
  <c r="G81" i="5"/>
  <c r="G103" i="5"/>
  <c r="F231" i="5"/>
  <c r="F237" i="5"/>
  <c r="G242" i="5"/>
  <c r="G268" i="5"/>
  <c r="F311" i="5"/>
  <c r="G124" i="5"/>
  <c r="F242" i="5"/>
  <c r="G256" i="5"/>
  <c r="F268" i="5"/>
  <c r="F273" i="5"/>
  <c r="F124" i="5"/>
  <c r="G273" i="5"/>
  <c r="G311" i="5"/>
  <c r="F319" i="5"/>
  <c r="F75" i="5"/>
  <c r="F81" i="5"/>
  <c r="F103" i="5"/>
</calcChain>
</file>

<file path=xl/sharedStrings.xml><?xml version="1.0" encoding="utf-8"?>
<sst xmlns="http://schemas.openxmlformats.org/spreadsheetml/2006/main" count="366" uniqueCount="141">
  <si>
    <t>Директор МОУ "Шенкурская СОШ"</t>
  </si>
  <si>
    <t>______________________/Варенцова Н.В./</t>
  </si>
  <si>
    <t xml:space="preserve">                         Десятидневное примерное меню горячих завтраков и обедов для организации питания детей</t>
  </si>
  <si>
    <t>Прием пищи</t>
  </si>
  <si>
    <t>Наименование блюда</t>
  </si>
  <si>
    <t xml:space="preserve">Масса </t>
  </si>
  <si>
    <t>порции</t>
  </si>
  <si>
    <t>Пищевые вещества</t>
  </si>
  <si>
    <t>Б</t>
  </si>
  <si>
    <t>Ж</t>
  </si>
  <si>
    <t>У</t>
  </si>
  <si>
    <t>Энергетическая</t>
  </si>
  <si>
    <t>ценность (ккал)</t>
  </si>
  <si>
    <t>В1</t>
  </si>
  <si>
    <t>(мг)</t>
  </si>
  <si>
    <t>С</t>
  </si>
  <si>
    <t>А</t>
  </si>
  <si>
    <t>Е</t>
  </si>
  <si>
    <t>Mg</t>
  </si>
  <si>
    <t>Ca</t>
  </si>
  <si>
    <t>Fe</t>
  </si>
  <si>
    <t>№</t>
  </si>
  <si>
    <t>рец.</t>
  </si>
  <si>
    <t>Итого</t>
  </si>
  <si>
    <t>Чай с сахаром</t>
  </si>
  <si>
    <t>Котлета рыбная</t>
  </si>
  <si>
    <t>Пюре картофельное</t>
  </si>
  <si>
    <t>Хлеб пшен-ржан</t>
  </si>
  <si>
    <t>Жаркое по-домашнему</t>
  </si>
  <si>
    <t>Винигрет</t>
  </si>
  <si>
    <t>Рис отварной</t>
  </si>
  <si>
    <t>Греча отварная</t>
  </si>
  <si>
    <t>Капуста тушеная</t>
  </si>
  <si>
    <t>Корж молочный</t>
  </si>
  <si>
    <t>Печенье</t>
  </si>
  <si>
    <t>Гуляш из мяса отварного</t>
  </si>
  <si>
    <t>Салат из свеклы с сыром</t>
  </si>
  <si>
    <t>Завтрак интернат</t>
  </si>
  <si>
    <t>Завтрак 1-4 кл.</t>
  </si>
  <si>
    <t>Обед 5-11 кл</t>
  </si>
  <si>
    <t>Обед 1-4 кл (ГПД)</t>
  </si>
  <si>
    <t>Чай с лимоном</t>
  </si>
  <si>
    <t>Вафли</t>
  </si>
  <si>
    <t>Ужин интернат</t>
  </si>
  <si>
    <t>ДЕНЬ 2</t>
  </si>
  <si>
    <t>ДЕНЬ 1</t>
  </si>
  <si>
    <t>Язык дрожжевой</t>
  </si>
  <si>
    <t>Рассольник Ленинградский</t>
  </si>
  <si>
    <t>Пряник</t>
  </si>
  <si>
    <t>Картофель тушеный</t>
  </si>
  <si>
    <t>Сок яблочный</t>
  </si>
  <si>
    <t>ДЕНЬ 3</t>
  </si>
  <si>
    <t>Котлета куриная</t>
  </si>
  <si>
    <t>Сайка</t>
  </si>
  <si>
    <t>Салат рыбный</t>
  </si>
  <si>
    <t xml:space="preserve">Суп картофельный с </t>
  </si>
  <si>
    <t>Яйцо вареное</t>
  </si>
  <si>
    <t>Сдоба</t>
  </si>
  <si>
    <t>ДЕНЬ 4</t>
  </si>
  <si>
    <t>Картофель отварной</t>
  </si>
  <si>
    <t>Сок мильтифруктовый</t>
  </si>
  <si>
    <t>ДЕНЬ 5</t>
  </si>
  <si>
    <t>Суп картофельный с бобовыми (горох)</t>
  </si>
  <si>
    <t>Чай с сахаром и лимоном</t>
  </si>
  <si>
    <t>Колоб беломорский</t>
  </si>
  <si>
    <t>Макаронник</t>
  </si>
  <si>
    <t>ДЕНЬ 6</t>
  </si>
  <si>
    <t>ДЕНЬ 7</t>
  </si>
  <si>
    <t>Запеканка картофельная с мясом</t>
  </si>
  <si>
    <t>ДЕНЬ 8</t>
  </si>
  <si>
    <t>Салат из св.капусты</t>
  </si>
  <si>
    <t>Сок мультифруктовый</t>
  </si>
  <si>
    <t>ДЕНЬ 9</t>
  </si>
  <si>
    <t>ДЕНЬ 10</t>
  </si>
  <si>
    <t>Салат степной</t>
  </si>
  <si>
    <t>200/15/7</t>
  </si>
  <si>
    <t>Компот из св. ягод черн смор</t>
  </si>
  <si>
    <t>Напиток из шиповника</t>
  </si>
  <si>
    <t>Компот из смеси сухофруктов</t>
  </si>
  <si>
    <t>Салат столичный с курой</t>
  </si>
  <si>
    <t>Картофель отварной с маслом</t>
  </si>
  <si>
    <t>Р</t>
  </si>
  <si>
    <t>Сок вишневый</t>
  </si>
  <si>
    <t>"________" ______________________20___г.</t>
  </si>
  <si>
    <t>Муниципальное бюджетное общеобразовательное учреждение "Шенкурская средняя школа"</t>
  </si>
  <si>
    <t>(МБОУ "Шенкурская СШ")</t>
  </si>
  <si>
    <t>Возрастная группа 12-18 лет</t>
  </si>
  <si>
    <t>Салат из белокочанной капусты</t>
  </si>
  <si>
    <t xml:space="preserve">Кофейный напиток </t>
  </si>
  <si>
    <t>Каша рассыпчатая гречневая</t>
  </si>
  <si>
    <t>Гуляш</t>
  </si>
  <si>
    <t>Напиток  из плодов шиповника</t>
  </si>
  <si>
    <t>Борщ с капустой и картофелем</t>
  </si>
  <si>
    <t>Плов из птицы</t>
  </si>
  <si>
    <t xml:space="preserve">Гуляш </t>
  </si>
  <si>
    <t>Яблоко</t>
  </si>
  <si>
    <t>Напиток из плодов шиповника</t>
  </si>
  <si>
    <t>Макаронные изделия отварные</t>
  </si>
  <si>
    <t>Бутерброд с маслом и сыром</t>
  </si>
  <si>
    <t>Каша вязкая молочная из рисовой крупы</t>
  </si>
  <si>
    <t>Каша вязкая молочная из пшеничной крупы</t>
  </si>
  <si>
    <t>Винигрет овощной</t>
  </si>
  <si>
    <t>Каша вязкая молочная из ячневой крупы</t>
  </si>
  <si>
    <t>Каша вязкая молочная из манной крупы</t>
  </si>
  <si>
    <t>Каша вязкая молочная из пшённой крупы</t>
  </si>
  <si>
    <t>Птица жареная (бедро)</t>
  </si>
  <si>
    <t xml:space="preserve">Кисель </t>
  </si>
  <si>
    <t>Батон</t>
  </si>
  <si>
    <t>Щи с капустой и картофелем</t>
  </si>
  <si>
    <t>Котлета рубленая из мяса птицы</t>
  </si>
  <si>
    <t>Компот из свежих плодов</t>
  </si>
  <si>
    <t>Каша вязкая молочная пшённая</t>
  </si>
  <si>
    <t xml:space="preserve">Компот из св. ягод </t>
  </si>
  <si>
    <t>Котлета особая</t>
  </si>
  <si>
    <t>Птица отварная (голень)</t>
  </si>
  <si>
    <t>Какао</t>
  </si>
  <si>
    <t>Борщ из капусты с картофелем</t>
  </si>
  <si>
    <t>Компот из ягод</t>
  </si>
  <si>
    <t>Кртлета рыбная</t>
  </si>
  <si>
    <t>Хлеб</t>
  </si>
  <si>
    <t xml:space="preserve">Какао </t>
  </si>
  <si>
    <t>Треска с луком</t>
  </si>
  <si>
    <t>Кисель</t>
  </si>
  <si>
    <t xml:space="preserve">Салат столичный </t>
  </si>
  <si>
    <t xml:space="preserve">Компот </t>
  </si>
  <si>
    <t xml:space="preserve"> (7-11 лет), (12-18 лет)</t>
  </si>
  <si>
    <t>Тефтели из говядины с рисом (паровые)</t>
  </si>
  <si>
    <t>Каша вязкая молочная из хлопьев овсяных</t>
  </si>
  <si>
    <t>Утверждено</t>
  </si>
  <si>
    <t xml:space="preserve"> МБОУ " Шенкурская СШ"</t>
  </si>
  <si>
    <t>2024-2025</t>
  </si>
  <si>
    <t>бобовыми (фасоль)</t>
  </si>
  <si>
    <t>Котлета рубленая из  птицы</t>
  </si>
  <si>
    <t>Каша вязкая молочная изрисовой крупы</t>
  </si>
  <si>
    <t>Творожная запеканка</t>
  </si>
  <si>
    <t>Суп картофельный с макаронными изделиями</t>
  </si>
  <si>
    <t>Компот из свухофруктов</t>
  </si>
  <si>
    <t>компот из свежих плодов</t>
  </si>
  <si>
    <t>слойка кондитерская</t>
  </si>
  <si>
    <t>батон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</si>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</sst>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35" xfId="0" applyFont="1" applyBorder="1"/>
    <xf numFmtId="0" fontId="1" fillId="0" borderId="36" xfId="0" applyFont="1" applyBorder="1"/>
    <xf numFmtId="0" fontId="2" fillId="0" borderId="18" xfId="0" applyFont="1" applyBorder="1"/>
    <xf numFmtId="0" fontId="1" fillId="2" borderId="19" xfId="0" applyFont="1" applyFill="1" applyBorder="1"/>
    <xf numFmtId="0" fontId="2" fillId="0" borderId="19" xfId="0" applyFont="1" applyBorder="1"/>
    <xf numFmtId="0" fontId="2" fillId="0" borderId="37" xfId="0" applyFont="1" applyBorder="1"/>
    <xf numFmtId="0" fontId="2" fillId="0" borderId="43" xfId="0" applyFont="1" applyBorder="1"/>
    <xf numFmtId="0" fontId="1" fillId="0" borderId="14" xfId="0" applyFont="1" applyBorder="1"/>
    <xf numFmtId="0" fontId="2" fillId="0" borderId="44" xfId="0" applyFont="1" applyBorder="1"/>
    <xf numFmtId="0" fontId="2" fillId="0" borderId="3" xfId="0" applyFont="1" applyBorder="1"/>
    <xf numFmtId="0" fontId="2" fillId="0" borderId="29" xfId="0" applyFont="1" applyBorder="1"/>
    <xf numFmtId="0" fontId="2" fillId="0" borderId="27" xfId="0" applyFont="1" applyBorder="1"/>
    <xf numFmtId="0" fontId="2" fillId="0" borderId="5" xfId="0" applyFont="1" applyFill="1" applyBorder="1"/>
    <xf numFmtId="1" fontId="2" fillId="0" borderId="2" xfId="0" applyNumberFormat="1" applyFont="1" applyBorder="1"/>
    <xf numFmtId="2" fontId="2" fillId="0" borderId="2" xfId="0" applyNumberFormat="1" applyFont="1" applyBorder="1"/>
    <xf numFmtId="2" fontId="2" fillId="0" borderId="28" xfId="0" applyNumberFormat="1" applyFont="1" applyBorder="1"/>
    <xf numFmtId="0" fontId="2" fillId="0" borderId="33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26" xfId="0" applyFont="1" applyBorder="1"/>
    <xf numFmtId="0" fontId="1" fillId="0" borderId="9" xfId="0" applyFont="1" applyFill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0" fontId="2" fillId="0" borderId="14" xfId="0" applyFont="1" applyBorder="1"/>
    <xf numFmtId="0" fontId="1" fillId="0" borderId="14" xfId="0" applyFont="1" applyFill="1" applyBorder="1"/>
    <xf numFmtId="2" fontId="1" fillId="0" borderId="32" xfId="0" applyNumberFormat="1" applyFont="1" applyBorder="1"/>
    <xf numFmtId="2" fontId="1" fillId="0" borderId="23" xfId="0" applyNumberFormat="1" applyFont="1" applyFill="1" applyBorder="1"/>
    <xf numFmtId="2" fontId="1" fillId="0" borderId="19" xfId="0" applyNumberFormat="1" applyFont="1" applyFill="1" applyBorder="1"/>
    <xf numFmtId="2" fontId="1" fillId="0" borderId="32" xfId="0" applyNumberFormat="1" applyFont="1" applyFill="1" applyBorder="1"/>
    <xf numFmtId="2" fontId="1" fillId="0" borderId="24" xfId="0" applyNumberFormat="1" applyFont="1" applyFill="1" applyBorder="1"/>
    <xf numFmtId="0" fontId="2" fillId="0" borderId="25" xfId="0" applyFont="1" applyBorder="1"/>
    <xf numFmtId="2" fontId="2" fillId="0" borderId="7" xfId="0" applyNumberFormat="1" applyFont="1" applyBorder="1"/>
    <xf numFmtId="2" fontId="2" fillId="0" borderId="2" xfId="0" applyNumberFormat="1" applyFont="1" applyFill="1" applyBorder="1"/>
    <xf numFmtId="2" fontId="2" fillId="0" borderId="26" xfId="0" applyNumberFormat="1" applyFont="1" applyFill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2" fillId="0" borderId="29" xfId="0" applyNumberFormat="1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2" fillId="0" borderId="2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2" fillId="0" borderId="0" xfId="0" applyFont="1" applyBorder="1"/>
    <xf numFmtId="0" fontId="2" fillId="0" borderId="3" xfId="0" applyFont="1" applyFill="1" applyBorder="1"/>
    <xf numFmtId="0" fontId="2" fillId="0" borderId="2" xfId="0" applyFont="1" applyBorder="1"/>
    <xf numFmtId="0" fontId="2" fillId="0" borderId="0" xfId="0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0" borderId="41" xfId="0" applyFont="1" applyBorder="1"/>
    <xf numFmtId="0" fontId="1" fillId="0" borderId="33" xfId="0" applyFont="1" applyBorder="1"/>
    <xf numFmtId="0" fontId="2" fillId="0" borderId="12" xfId="0" applyFont="1" applyFill="1" applyBorder="1"/>
    <xf numFmtId="0" fontId="1" fillId="0" borderId="46" xfId="0" applyFont="1" applyFill="1" applyBorder="1"/>
    <xf numFmtId="0" fontId="1" fillId="0" borderId="10" xfId="0" applyFont="1" applyBorder="1"/>
    <xf numFmtId="1" fontId="2" fillId="0" borderId="1" xfId="0" applyNumberFormat="1" applyFont="1" applyBorder="1"/>
    <xf numFmtId="0" fontId="2" fillId="0" borderId="34" xfId="0" applyFont="1" applyBorder="1"/>
    <xf numFmtId="0" fontId="2" fillId="0" borderId="35" xfId="0" applyFont="1" applyFill="1" applyBorder="1"/>
    <xf numFmtId="1" fontId="2" fillId="0" borderId="35" xfId="0" applyNumberFormat="1" applyFont="1" applyBorder="1"/>
    <xf numFmtId="2" fontId="2" fillId="0" borderId="35" xfId="0" applyNumberFormat="1" applyFont="1" applyFill="1" applyBorder="1"/>
    <xf numFmtId="2" fontId="2" fillId="0" borderId="35" xfId="0" applyNumberFormat="1" applyFont="1" applyBorder="1"/>
    <xf numFmtId="0" fontId="2" fillId="0" borderId="35" xfId="0" applyFont="1" applyBorder="1"/>
    <xf numFmtId="0" fontId="2" fillId="0" borderId="36" xfId="0" applyFont="1" applyBorder="1"/>
    <xf numFmtId="0" fontId="1" fillId="0" borderId="38" xfId="0" applyFont="1" applyFill="1" applyBorder="1"/>
    <xf numFmtId="0" fontId="1" fillId="0" borderId="5" xfId="0" applyFont="1" applyBorder="1"/>
    <xf numFmtId="0" fontId="2" fillId="0" borderId="32" xfId="0" applyFont="1" applyBorder="1"/>
    <xf numFmtId="0" fontId="2" fillId="0" borderId="40" xfId="0" applyFont="1" applyBorder="1"/>
    <xf numFmtId="0" fontId="2" fillId="0" borderId="4" xfId="0" applyFont="1" applyBorder="1"/>
    <xf numFmtId="0" fontId="2" fillId="0" borderId="8" xfId="0" applyFont="1" applyFill="1" applyBorder="1"/>
    <xf numFmtId="0" fontId="2" fillId="0" borderId="7" xfId="0" applyFont="1" applyBorder="1"/>
    <xf numFmtId="0" fontId="2" fillId="0" borderId="30" xfId="0" applyFont="1" applyBorder="1"/>
    <xf numFmtId="2" fontId="2" fillId="0" borderId="41" xfId="0" applyNumberFormat="1" applyFont="1" applyBorder="1"/>
    <xf numFmtId="2" fontId="2" fillId="0" borderId="5" xfId="0" applyNumberFormat="1" applyFont="1" applyFill="1" applyBorder="1"/>
    <xf numFmtId="2" fontId="2" fillId="0" borderId="5" xfId="0" applyNumberFormat="1" applyFont="1" applyBorder="1"/>
    <xf numFmtId="0" fontId="2" fillId="0" borderId="39" xfId="0" applyFont="1" applyBorder="1"/>
    <xf numFmtId="2" fontId="2" fillId="0" borderId="26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5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2" fontId="2" fillId="0" borderId="28" xfId="0" applyNumberFormat="1" applyFont="1" applyFill="1" applyBorder="1"/>
    <xf numFmtId="0" fontId="2" fillId="0" borderId="47" xfId="0" applyFont="1" applyBorder="1"/>
    <xf numFmtId="0" fontId="2" fillId="0" borderId="48" xfId="0" applyFont="1" applyBorder="1"/>
    <xf numFmtId="0" fontId="1" fillId="0" borderId="39" xfId="0" applyFont="1" applyBorder="1"/>
    <xf numFmtId="0" fontId="1" fillId="0" borderId="19" xfId="0" applyFont="1" applyFill="1" applyBorder="1"/>
    <xf numFmtId="2" fontId="2" fillId="0" borderId="3" xfId="0" applyNumberFormat="1" applyFont="1" applyBorder="1"/>
    <xf numFmtId="2" fontId="2" fillId="0" borderId="3" xfId="0" applyNumberFormat="1" applyFont="1" applyFill="1" applyBorder="1"/>
    <xf numFmtId="0" fontId="2" fillId="0" borderId="10" xfId="0" applyFont="1" applyFill="1" applyBorder="1"/>
    <xf numFmtId="2" fontId="2" fillId="0" borderId="10" xfId="0" applyNumberFormat="1" applyFont="1" applyBorder="1"/>
    <xf numFmtId="0" fontId="1" fillId="0" borderId="43" xfId="0" applyFont="1" applyBorder="1"/>
    <xf numFmtId="2" fontId="2" fillId="0" borderId="44" xfId="0" applyNumberFormat="1" applyFont="1" applyBorder="1"/>
    <xf numFmtId="0" fontId="2" fillId="0" borderId="38" xfId="0" applyFont="1" applyBorder="1"/>
    <xf numFmtId="0" fontId="2" fillId="0" borderId="15" xfId="0" applyFont="1" applyBorder="1"/>
    <xf numFmtId="0" fontId="2" fillId="0" borderId="16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0" borderId="46" xfId="0" applyFont="1" applyBorder="1"/>
    <xf numFmtId="2" fontId="2" fillId="0" borderId="13" xfId="0" applyNumberFormat="1" applyFont="1" applyBorder="1"/>
    <xf numFmtId="14" fontId="2" fillId="0" borderId="2" xfId="0" applyNumberFormat="1" applyFont="1" applyBorder="1"/>
    <xf numFmtId="0" fontId="2" fillId="0" borderId="51" xfId="0" applyFont="1" applyBorder="1"/>
    <xf numFmtId="2" fontId="2" fillId="0" borderId="52" xfId="0" applyNumberFormat="1" applyFont="1" applyBorder="1"/>
    <xf numFmtId="2" fontId="2" fillId="0" borderId="19" xfId="0" applyNumberFormat="1" applyFont="1" applyFill="1" applyBorder="1"/>
    <xf numFmtId="2" fontId="2" fillId="0" borderId="19" xfId="0" applyNumberFormat="1" applyFont="1" applyBorder="1"/>
    <xf numFmtId="0" fontId="2" fillId="0" borderId="53" xfId="0" applyFont="1" applyBorder="1"/>
    <xf numFmtId="0" fontId="2" fillId="0" borderId="25" xfId="0" applyFont="1" applyFill="1" applyBorder="1"/>
    <xf numFmtId="0" fontId="2" fillId="0" borderId="31" xfId="0" applyFont="1" applyBorder="1"/>
    <xf numFmtId="0" fontId="2" fillId="0" borderId="50" xfId="0" applyFont="1" applyBorder="1"/>
    <xf numFmtId="0" fontId="1" fillId="0" borderId="49" xfId="0" applyFont="1" applyBorder="1"/>
    <xf numFmtId="0" fontId="1" fillId="0" borderId="18" xfId="0" applyFont="1" applyFill="1" applyBorder="1"/>
    <xf numFmtId="2" fontId="1" fillId="0" borderId="10" xfId="0" applyNumberFormat="1" applyFont="1" applyFill="1" applyBorder="1"/>
    <xf numFmtId="2" fontId="1" fillId="0" borderId="11" xfId="0" applyNumberFormat="1" applyFont="1" applyFill="1" applyBorder="1"/>
    <xf numFmtId="0" fontId="1" fillId="0" borderId="30" xfId="0" applyFont="1" applyBorder="1"/>
    <xf numFmtId="2" fontId="1" fillId="0" borderId="41" xfId="0" applyNumberFormat="1" applyFont="1" applyBorder="1"/>
    <xf numFmtId="2" fontId="1" fillId="0" borderId="0" xfId="0" applyNumberFormat="1" applyFont="1" applyFill="1" applyBorder="1"/>
    <xf numFmtId="2" fontId="1" fillId="0" borderId="5" xfId="0" applyNumberFormat="1" applyFont="1" applyFill="1" applyBorder="1"/>
    <xf numFmtId="2" fontId="1" fillId="0" borderId="39" xfId="0" applyNumberFormat="1" applyFont="1" applyFill="1" applyBorder="1"/>
    <xf numFmtId="0" fontId="1" fillId="0" borderId="11" xfId="0" applyFont="1" applyBorder="1"/>
    <xf numFmtId="0" fontId="1" fillId="0" borderId="41" xfId="0" applyFont="1" applyBorder="1"/>
    <xf numFmtId="0" fontId="1" fillId="0" borderId="42" xfId="0" applyFont="1" applyFill="1" applyBorder="1"/>
    <xf numFmtId="0" fontId="1" fillId="2" borderId="14" xfId="0" applyFont="1" applyFill="1" applyBorder="1"/>
    <xf numFmtId="0" fontId="1" fillId="0" borderId="15" xfId="0" applyFont="1" applyFill="1" applyBorder="1"/>
    <xf numFmtId="0" fontId="1" fillId="0" borderId="17" xfId="0" applyFont="1" applyBorder="1"/>
    <xf numFmtId="0" fontId="2" fillId="0" borderId="11" xfId="0" applyFont="1" applyBorder="1"/>
    <xf numFmtId="2" fontId="2" fillId="0" borderId="11" xfId="0" applyNumberFormat="1" applyFont="1" applyBorder="1"/>
    <xf numFmtId="0" fontId="1" fillId="0" borderId="54" xfId="0" applyFont="1" applyBorder="1"/>
    <xf numFmtId="0" fontId="2" fillId="0" borderId="41" xfId="0" applyFont="1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364"/>
  <sheetViews>
    <sheetView tabSelected="1" topLeftCell="A241" zoomScale="85" zoomScaleNormal="85" workbookViewId="0">
      <selection activeCell="T346" sqref="T346"/>
    </sheetView>
  </sheetViews>
  <sheetFormatPr defaultColWidth="9.1328125" defaultRowHeight="12.25" x14ac:dyDescent="0.65"/>
  <cols>
    <col min="1" max="1" width="6.26953125" style="2" customWidth="1"/>
    <col min="2" max="2" width="34.1328125" style="2" customWidth="1"/>
    <col min="3" max="3" width="11.1328125" style="2" customWidth="1"/>
    <col min="4" max="4" width="6.40625" style="2" customWidth="1"/>
    <col min="5" max="5" width="8" style="2" customWidth="1"/>
    <col min="6" max="6" width="8.54296875" style="2" customWidth="1"/>
    <col min="7" max="7" width="13.26953125" style="2" customWidth="1"/>
    <col min="8" max="8" width="6.86328125" style="2" customWidth="1"/>
    <col min="9" max="9" width="7.1328125" style="2" customWidth="1"/>
    <col min="10" max="10" width="7.40625" style="2" customWidth="1"/>
    <col min="11" max="11" width="8.26953125" style="2" customWidth="1"/>
    <col min="12" max="12" width="7.54296875" style="2" customWidth="1"/>
    <col min="13" max="13" width="6.40625" style="2" customWidth="1"/>
    <col min="14" max="14" width="6.54296875" style="2" customWidth="1"/>
    <col min="15" max="16384" width="9.1328125" style="2"/>
  </cols>
  <sheetData>
    <row r="2" spans="1:10" x14ac:dyDescent="0.65">
      <c r="A2" s="1"/>
      <c r="J2" s="1"/>
    </row>
    <row r="9" spans="1:10" x14ac:dyDescent="0.65">
      <c r="A9" s="2" t="s">
        <v>83</v>
      </c>
    </row>
    <row r="12" spans="1:10" x14ac:dyDescent="0.65">
      <c r="A12" s="1" t="s">
        <v>128</v>
      </c>
    </row>
    <row r="14" spans="1:10" x14ac:dyDescent="0.65">
      <c r="A14" s="2" t="s">
        <v>0</v>
      </c>
      <c r="B14" s="2" t="s">
        <v>129</v>
      </c>
    </row>
    <row r="16" spans="1:10" x14ac:dyDescent="0.65">
      <c r="A16" s="2" t="s">
        <v>1</v>
      </c>
    </row>
    <row r="18" spans="3:8" x14ac:dyDescent="0.65">
      <c r="C18" s="2" t="s">
        <v>2</v>
      </c>
    </row>
    <row r="20" spans="3:8" x14ac:dyDescent="0.65">
      <c r="D20" s="2" t="s">
        <v>84</v>
      </c>
    </row>
    <row r="22" spans="3:8" x14ac:dyDescent="0.65">
      <c r="G22" s="2" t="s">
        <v>85</v>
      </c>
    </row>
    <row r="26" spans="3:8" x14ac:dyDescent="0.65">
      <c r="G26" s="2" t="s">
        <v>86</v>
      </c>
      <c r="H26" s="2" t="s">
        <v>125</v>
      </c>
    </row>
    <row r="29" spans="3:8" x14ac:dyDescent="0.65">
      <c r="G29" s="2" t="s">
        <v>130</v>
      </c>
    </row>
    <row r="34" spans="1:17" ht="13" thickBot="1" x14ac:dyDescent="0.8"/>
    <row r="35" spans="1:17" x14ac:dyDescent="0.65">
      <c r="A35" s="3" t="s">
        <v>21</v>
      </c>
      <c r="B35" s="4" t="s">
        <v>3</v>
      </c>
      <c r="C35" s="4" t="s">
        <v>5</v>
      </c>
      <c r="D35" s="5" t="s">
        <v>7</v>
      </c>
      <c r="E35" s="6"/>
      <c r="F35" s="7"/>
      <c r="G35" s="4" t="s">
        <v>11</v>
      </c>
      <c r="H35" s="8" t="s">
        <v>13</v>
      </c>
      <c r="I35" s="8" t="s">
        <v>15</v>
      </c>
      <c r="J35" s="8" t="s">
        <v>16</v>
      </c>
      <c r="K35" s="8" t="s">
        <v>19</v>
      </c>
      <c r="L35" s="8" t="s">
        <v>18</v>
      </c>
      <c r="M35" s="9" t="s">
        <v>20</v>
      </c>
      <c r="N35" s="8" t="s">
        <v>17</v>
      </c>
      <c r="O35" s="9" t="s">
        <v>81</v>
      </c>
    </row>
    <row r="36" spans="1:17" ht="13" thickBot="1" x14ac:dyDescent="0.8">
      <c r="A36" s="10" t="s">
        <v>22</v>
      </c>
      <c r="B36" s="11" t="s">
        <v>4</v>
      </c>
      <c r="C36" s="11" t="s">
        <v>6</v>
      </c>
      <c r="D36" s="12" t="s">
        <v>8</v>
      </c>
      <c r="E36" s="12" t="s">
        <v>9</v>
      </c>
      <c r="F36" s="12" t="s">
        <v>10</v>
      </c>
      <c r="G36" s="11" t="s">
        <v>12</v>
      </c>
      <c r="H36" s="12" t="s">
        <v>14</v>
      </c>
      <c r="I36" s="12" t="s">
        <v>14</v>
      </c>
      <c r="J36" s="12" t="s">
        <v>14</v>
      </c>
      <c r="K36" s="12" t="s">
        <v>14</v>
      </c>
      <c r="L36" s="12" t="s">
        <v>14</v>
      </c>
      <c r="M36" s="12" t="s">
        <v>14</v>
      </c>
      <c r="N36" s="12" t="s">
        <v>14</v>
      </c>
      <c r="O36" s="13" t="s">
        <v>14</v>
      </c>
    </row>
    <row r="37" spans="1:17" ht="13" thickBot="1" x14ac:dyDescent="0.8">
      <c r="A37" s="14"/>
      <c r="B37" s="15" t="s">
        <v>45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</row>
    <row r="38" spans="1:17" ht="13" thickBot="1" x14ac:dyDescent="0.8">
      <c r="A38" s="18"/>
      <c r="B38" s="19" t="s">
        <v>37</v>
      </c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7" x14ac:dyDescent="0.65">
      <c r="A39" s="23">
        <v>302</v>
      </c>
      <c r="B39" s="24" t="s">
        <v>104</v>
      </c>
      <c r="C39" s="25">
        <v>250</v>
      </c>
      <c r="D39" s="26">
        <v>6.38</v>
      </c>
      <c r="E39" s="26">
        <v>10.119999999999999</v>
      </c>
      <c r="F39" s="26">
        <v>34.9</v>
      </c>
      <c r="G39" s="26">
        <v>264</v>
      </c>
      <c r="H39" s="26">
        <v>0.18</v>
      </c>
      <c r="I39" s="26">
        <v>1.36</v>
      </c>
      <c r="J39" s="26">
        <v>0.08</v>
      </c>
      <c r="K39" s="26">
        <v>144.6</v>
      </c>
      <c r="L39" s="26">
        <v>55.4</v>
      </c>
      <c r="M39" s="26">
        <v>1.46</v>
      </c>
      <c r="N39" s="26">
        <v>0.24</v>
      </c>
      <c r="O39" s="27">
        <v>259.8</v>
      </c>
    </row>
    <row r="40" spans="1:17" x14ac:dyDescent="0.65">
      <c r="A40" s="23"/>
      <c r="B40" s="24" t="s">
        <v>34</v>
      </c>
      <c r="C40" s="25">
        <v>40</v>
      </c>
      <c r="D40" s="26">
        <v>3.04</v>
      </c>
      <c r="E40" s="26">
        <v>0.48</v>
      </c>
      <c r="F40" s="26">
        <v>16.68</v>
      </c>
      <c r="G40" s="26">
        <v>202</v>
      </c>
      <c r="H40" s="26">
        <v>0.03</v>
      </c>
      <c r="I40" s="26">
        <v>0</v>
      </c>
      <c r="J40" s="26">
        <v>4.0000000000000001E-3</v>
      </c>
      <c r="K40" s="26">
        <v>11.6</v>
      </c>
      <c r="L40" s="26">
        <v>8</v>
      </c>
      <c r="M40" s="26">
        <v>0.84</v>
      </c>
      <c r="N40" s="26">
        <v>1.4</v>
      </c>
      <c r="O40" s="27">
        <v>36</v>
      </c>
    </row>
    <row r="41" spans="1:17" ht="13" thickBot="1" x14ac:dyDescent="0.8">
      <c r="A41" s="28">
        <v>685</v>
      </c>
      <c r="B41" s="29" t="s">
        <v>24</v>
      </c>
      <c r="C41" s="30">
        <v>250</v>
      </c>
      <c r="D41" s="30">
        <v>0.2</v>
      </c>
      <c r="E41" s="30">
        <v>0</v>
      </c>
      <c r="F41" s="30">
        <v>0</v>
      </c>
      <c r="G41" s="30">
        <v>4.5999999999999996</v>
      </c>
      <c r="H41" s="30">
        <v>0.06</v>
      </c>
      <c r="I41" s="30">
        <v>1.7</v>
      </c>
      <c r="J41" s="30">
        <v>0.03</v>
      </c>
      <c r="K41" s="30">
        <v>163</v>
      </c>
      <c r="L41" s="30">
        <v>39</v>
      </c>
      <c r="M41" s="30">
        <v>1.3</v>
      </c>
      <c r="N41" s="30">
        <v>0</v>
      </c>
      <c r="O41" s="31">
        <v>150</v>
      </c>
    </row>
    <row r="42" spans="1:17" s="1" customFormat="1" ht="13" thickBot="1" x14ac:dyDescent="0.8">
      <c r="A42" s="19"/>
      <c r="B42" s="32" t="s">
        <v>23</v>
      </c>
      <c r="C42" s="33">
        <f>SUM(C39:C41)</f>
        <v>540</v>
      </c>
      <c r="D42" s="33">
        <f t="shared" ref="D42:O42" si="0">SUM(D39:D41)</f>
        <v>9.6199999999999992</v>
      </c>
      <c r="E42" s="33">
        <f t="shared" si="0"/>
        <v>10.6</v>
      </c>
      <c r="F42" s="33">
        <f t="shared" si="0"/>
        <v>51.58</v>
      </c>
      <c r="G42" s="33">
        <f t="shared" si="0"/>
        <v>470.6</v>
      </c>
      <c r="H42" s="33">
        <f t="shared" si="0"/>
        <v>0.27</v>
      </c>
      <c r="I42" s="33">
        <f t="shared" si="0"/>
        <v>3.06</v>
      </c>
      <c r="J42" s="33">
        <f t="shared" si="0"/>
        <v>0.114</v>
      </c>
      <c r="K42" s="33">
        <f t="shared" si="0"/>
        <v>319.2</v>
      </c>
      <c r="L42" s="33">
        <f t="shared" si="0"/>
        <v>102.4</v>
      </c>
      <c r="M42" s="33">
        <f t="shared" si="0"/>
        <v>3.5999999999999996</v>
      </c>
      <c r="N42" s="33">
        <f t="shared" si="0"/>
        <v>1.64</v>
      </c>
      <c r="O42" s="34">
        <f t="shared" si="0"/>
        <v>445.8</v>
      </c>
    </row>
    <row r="43" spans="1:17" ht="13" thickBot="1" x14ac:dyDescent="0.8">
      <c r="A43" s="35"/>
      <c r="B43" s="36" t="s">
        <v>38</v>
      </c>
      <c r="C43" s="37"/>
      <c r="D43" s="38"/>
      <c r="E43" s="37"/>
      <c r="F43" s="39"/>
      <c r="G43" s="39"/>
      <c r="H43" s="40"/>
      <c r="I43" s="39"/>
      <c r="J43" s="38"/>
      <c r="K43" s="40"/>
      <c r="L43" s="38"/>
      <c r="M43" s="40"/>
      <c r="N43" s="38"/>
      <c r="O43" s="41"/>
    </row>
    <row r="44" spans="1:17" x14ac:dyDescent="0.65">
      <c r="A44" s="42">
        <v>302</v>
      </c>
      <c r="B44" s="24" t="s">
        <v>99</v>
      </c>
      <c r="C44" s="43">
        <v>250</v>
      </c>
      <c r="D44" s="44">
        <v>3.3</v>
      </c>
      <c r="E44" s="26">
        <v>8.8000000000000007</v>
      </c>
      <c r="F44" s="44">
        <v>34.700000000000003</v>
      </c>
      <c r="G44" s="44">
        <f>109/100*205</f>
        <v>223.45000000000002</v>
      </c>
      <c r="H44" s="44">
        <v>0.03</v>
      </c>
      <c r="I44" s="44">
        <v>0</v>
      </c>
      <c r="J44" s="44">
        <v>20</v>
      </c>
      <c r="K44" s="44">
        <v>5.9</v>
      </c>
      <c r="L44" s="44">
        <v>21.8</v>
      </c>
      <c r="M44" s="44">
        <v>0.47</v>
      </c>
      <c r="N44" s="44">
        <v>0</v>
      </c>
      <c r="O44" s="45">
        <v>67</v>
      </c>
      <c r="Q44" s="1"/>
    </row>
    <row r="45" spans="1:17" x14ac:dyDescent="0.65">
      <c r="A45" s="42">
        <v>693</v>
      </c>
      <c r="B45" s="29" t="s">
        <v>115</v>
      </c>
      <c r="C45" s="46">
        <v>250</v>
      </c>
      <c r="D45" s="47">
        <v>4.9000000000000004</v>
      </c>
      <c r="E45" s="46">
        <v>5</v>
      </c>
      <c r="F45" s="47">
        <v>32.5</v>
      </c>
      <c r="G45" s="47">
        <v>240</v>
      </c>
      <c r="H45" s="47">
        <v>0</v>
      </c>
      <c r="I45" s="47">
        <v>0</v>
      </c>
      <c r="J45" s="47">
        <v>0</v>
      </c>
      <c r="K45" s="47">
        <v>6</v>
      </c>
      <c r="L45" s="47">
        <v>0</v>
      </c>
      <c r="M45" s="47">
        <v>6.52</v>
      </c>
      <c r="N45" s="47">
        <v>0</v>
      </c>
      <c r="O45" s="48">
        <v>0</v>
      </c>
    </row>
    <row r="46" spans="1:17" ht="13" thickBot="1" x14ac:dyDescent="0.8">
      <c r="A46" s="23"/>
      <c r="B46" s="49" t="s">
        <v>107</v>
      </c>
      <c r="C46" s="26">
        <v>40</v>
      </c>
      <c r="D46" s="44">
        <v>3</v>
      </c>
      <c r="E46" s="26">
        <v>1</v>
      </c>
      <c r="F46" s="44">
        <v>2</v>
      </c>
      <c r="G46" s="44">
        <v>22</v>
      </c>
      <c r="H46" s="44">
        <v>3.2000000000000001E-2</v>
      </c>
      <c r="I46" s="44">
        <v>0</v>
      </c>
      <c r="J46" s="50">
        <v>4.0000000000000001E-3</v>
      </c>
      <c r="K46" s="44">
        <v>11.6</v>
      </c>
      <c r="L46" s="44">
        <v>8</v>
      </c>
      <c r="M46" s="44">
        <v>0.84</v>
      </c>
      <c r="N46" s="44">
        <v>1.4</v>
      </c>
      <c r="O46" s="51">
        <v>36</v>
      </c>
    </row>
    <row r="47" spans="1:17" s="1" customFormat="1" ht="13" thickBot="1" x14ac:dyDescent="0.8">
      <c r="A47" s="52"/>
      <c r="B47" s="53" t="s">
        <v>23</v>
      </c>
      <c r="C47" s="33">
        <f>SUM(C44:C46)</f>
        <v>540</v>
      </c>
      <c r="D47" s="33">
        <f t="shared" ref="D47:O47" si="1">SUM(D44:D46)</f>
        <v>11.2</v>
      </c>
      <c r="E47" s="33">
        <f t="shared" si="1"/>
        <v>14.8</v>
      </c>
      <c r="F47" s="33">
        <f t="shared" si="1"/>
        <v>69.2</v>
      </c>
      <c r="G47" s="33">
        <f t="shared" si="1"/>
        <v>485.45000000000005</v>
      </c>
      <c r="H47" s="33">
        <f t="shared" si="1"/>
        <v>6.2E-2</v>
      </c>
      <c r="I47" s="33">
        <f t="shared" si="1"/>
        <v>0</v>
      </c>
      <c r="J47" s="33">
        <f t="shared" si="1"/>
        <v>20.004000000000001</v>
      </c>
      <c r="K47" s="33">
        <f t="shared" si="1"/>
        <v>23.5</v>
      </c>
      <c r="L47" s="33">
        <f t="shared" si="1"/>
        <v>29.8</v>
      </c>
      <c r="M47" s="33">
        <f t="shared" si="1"/>
        <v>7.8299999999999992</v>
      </c>
      <c r="N47" s="33">
        <f t="shared" si="1"/>
        <v>1.4</v>
      </c>
      <c r="O47" s="34">
        <f t="shared" si="1"/>
        <v>103</v>
      </c>
    </row>
    <row r="48" spans="1:17" ht="13" thickBot="1" x14ac:dyDescent="0.8">
      <c r="A48" s="18"/>
      <c r="B48" s="36" t="s">
        <v>39</v>
      </c>
      <c r="C48" s="20"/>
      <c r="D48" s="54"/>
      <c r="E48" s="21"/>
      <c r="F48" s="54"/>
      <c r="G48" s="21"/>
      <c r="H48" s="21"/>
      <c r="I48" s="54"/>
      <c r="J48" s="21"/>
      <c r="K48" s="21"/>
      <c r="L48" s="54"/>
      <c r="M48" s="21"/>
      <c r="N48" s="54"/>
      <c r="O48" s="22"/>
    </row>
    <row r="49" spans="1:16" x14ac:dyDescent="0.65">
      <c r="A49" s="28">
        <v>43</v>
      </c>
      <c r="B49" s="55" t="s">
        <v>87</v>
      </c>
      <c r="C49" s="46">
        <v>100</v>
      </c>
      <c r="D49" s="47">
        <v>1.4</v>
      </c>
      <c r="E49" s="46">
        <v>5.0999999999999996</v>
      </c>
      <c r="F49" s="47">
        <v>8.9</v>
      </c>
      <c r="G49" s="47">
        <v>88</v>
      </c>
      <c r="H49" s="47">
        <v>0.02</v>
      </c>
      <c r="I49" s="47">
        <v>19.47</v>
      </c>
      <c r="J49" s="47">
        <v>0</v>
      </c>
      <c r="K49" s="47">
        <v>22.42</v>
      </c>
      <c r="L49" s="47">
        <v>9.1</v>
      </c>
      <c r="M49" s="47">
        <v>0.31</v>
      </c>
      <c r="N49" s="47">
        <v>0</v>
      </c>
      <c r="O49" s="31">
        <v>16.57</v>
      </c>
    </row>
    <row r="50" spans="1:16" x14ac:dyDescent="0.65">
      <c r="A50" s="28">
        <v>124</v>
      </c>
      <c r="B50" s="29" t="s">
        <v>108</v>
      </c>
      <c r="C50" s="46">
        <v>250</v>
      </c>
      <c r="D50" s="47">
        <v>2</v>
      </c>
      <c r="E50" s="46">
        <v>4.3</v>
      </c>
      <c r="F50" s="47">
        <v>10</v>
      </c>
      <c r="G50" s="47">
        <v>88</v>
      </c>
      <c r="H50" s="47">
        <v>0.06</v>
      </c>
      <c r="I50" s="47">
        <v>18.46</v>
      </c>
      <c r="J50" s="47">
        <v>0</v>
      </c>
      <c r="K50" s="47">
        <v>43.33</v>
      </c>
      <c r="L50" s="47">
        <v>22.25</v>
      </c>
      <c r="M50" s="47">
        <v>0.8</v>
      </c>
      <c r="N50" s="47">
        <v>0</v>
      </c>
      <c r="O50" s="31">
        <v>47.63</v>
      </c>
    </row>
    <row r="51" spans="1:16" x14ac:dyDescent="0.65">
      <c r="A51" s="28">
        <v>332</v>
      </c>
      <c r="B51" s="29" t="s">
        <v>97</v>
      </c>
      <c r="C51" s="46">
        <v>180</v>
      </c>
      <c r="D51" s="47">
        <v>6.3</v>
      </c>
      <c r="E51" s="46">
        <v>7.38</v>
      </c>
      <c r="F51" s="47">
        <v>42.24</v>
      </c>
      <c r="G51" s="47">
        <v>264</v>
      </c>
      <c r="H51" s="47">
        <v>0.06</v>
      </c>
      <c r="I51" s="47">
        <v>0</v>
      </c>
      <c r="J51" s="47">
        <v>21</v>
      </c>
      <c r="K51" s="47">
        <v>4.8600000000000003</v>
      </c>
      <c r="L51" s="47">
        <v>21.12</v>
      </c>
      <c r="M51" s="47">
        <v>1.1100000000000001</v>
      </c>
      <c r="N51" s="47">
        <v>0</v>
      </c>
      <c r="O51" s="31">
        <v>37.17</v>
      </c>
    </row>
    <row r="52" spans="1:16" x14ac:dyDescent="0.65">
      <c r="A52" s="28">
        <v>498</v>
      </c>
      <c r="B52" s="29" t="s">
        <v>109</v>
      </c>
      <c r="C52" s="46">
        <v>100</v>
      </c>
      <c r="D52" s="47">
        <v>16.7</v>
      </c>
      <c r="E52" s="47">
        <v>12.1</v>
      </c>
      <c r="F52" s="47">
        <v>16.3</v>
      </c>
      <c r="G52" s="47">
        <v>244</v>
      </c>
      <c r="H52" s="47">
        <v>0.03</v>
      </c>
      <c r="I52" s="47">
        <v>0</v>
      </c>
      <c r="J52" s="47">
        <v>0</v>
      </c>
      <c r="K52" s="47">
        <v>19.2</v>
      </c>
      <c r="L52" s="47">
        <v>16</v>
      </c>
      <c r="M52" s="47">
        <v>0</v>
      </c>
      <c r="N52" s="47">
        <v>0</v>
      </c>
      <c r="O52" s="45">
        <v>127.2</v>
      </c>
    </row>
    <row r="53" spans="1:16" x14ac:dyDescent="0.65">
      <c r="A53" s="28">
        <v>685</v>
      </c>
      <c r="B53" s="29" t="s">
        <v>24</v>
      </c>
      <c r="C53" s="30">
        <v>200</v>
      </c>
      <c r="D53" s="30">
        <v>0.2</v>
      </c>
      <c r="E53" s="30">
        <v>0</v>
      </c>
      <c r="F53" s="30">
        <v>0</v>
      </c>
      <c r="G53" s="30">
        <v>4.5999999999999996</v>
      </c>
      <c r="H53" s="47">
        <v>0</v>
      </c>
      <c r="I53" s="47">
        <v>0</v>
      </c>
      <c r="J53" s="47">
        <v>0</v>
      </c>
      <c r="K53" s="47">
        <v>6</v>
      </c>
      <c r="L53" s="47">
        <v>0</v>
      </c>
      <c r="M53" s="47">
        <v>6.52</v>
      </c>
      <c r="N53" s="47">
        <v>0</v>
      </c>
      <c r="O53" s="48">
        <v>0</v>
      </c>
    </row>
    <row r="54" spans="1:16" ht="13" thickBot="1" x14ac:dyDescent="0.8">
      <c r="A54" s="23"/>
      <c r="B54" s="49" t="s">
        <v>27</v>
      </c>
      <c r="C54" s="56">
        <v>60</v>
      </c>
      <c r="D54" s="56">
        <v>6</v>
      </c>
      <c r="E54" s="56">
        <v>2</v>
      </c>
      <c r="F54" s="56">
        <v>4</v>
      </c>
      <c r="G54" s="56">
        <v>44</v>
      </c>
      <c r="H54" s="56">
        <v>0.05</v>
      </c>
      <c r="I54" s="56">
        <v>0</v>
      </c>
      <c r="J54" s="56">
        <v>0</v>
      </c>
      <c r="K54" s="56">
        <v>10.5</v>
      </c>
      <c r="L54" s="56">
        <v>14</v>
      </c>
      <c r="M54" s="56">
        <v>1.17</v>
      </c>
      <c r="N54" s="56">
        <v>0.42</v>
      </c>
      <c r="O54" s="51">
        <v>47.4</v>
      </c>
      <c r="P54" s="57"/>
    </row>
    <row r="55" spans="1:16" s="1" customFormat="1" ht="13" thickBot="1" x14ac:dyDescent="0.8">
      <c r="A55" s="52"/>
      <c r="B55" s="53" t="s">
        <v>23</v>
      </c>
      <c r="C55" s="33">
        <f>SUM(C49:C54)</f>
        <v>890</v>
      </c>
      <c r="D55" s="33">
        <f t="shared" ref="D55:O55" si="2">SUM(D49:D54)</f>
        <v>32.599999999999994</v>
      </c>
      <c r="E55" s="33">
        <f t="shared" si="2"/>
        <v>30.879999999999995</v>
      </c>
      <c r="F55" s="33">
        <f t="shared" si="2"/>
        <v>81.44</v>
      </c>
      <c r="G55" s="33">
        <f t="shared" si="2"/>
        <v>732.6</v>
      </c>
      <c r="H55" s="33">
        <f t="shared" si="2"/>
        <v>0.22000000000000003</v>
      </c>
      <c r="I55" s="33">
        <f t="shared" si="2"/>
        <v>37.93</v>
      </c>
      <c r="J55" s="33">
        <f t="shared" si="2"/>
        <v>21</v>
      </c>
      <c r="K55" s="33">
        <f t="shared" si="2"/>
        <v>106.31</v>
      </c>
      <c r="L55" s="33">
        <f t="shared" si="2"/>
        <v>82.47</v>
      </c>
      <c r="M55" s="33">
        <f t="shared" si="2"/>
        <v>9.91</v>
      </c>
      <c r="N55" s="33">
        <f t="shared" si="2"/>
        <v>0.42</v>
      </c>
      <c r="O55" s="34">
        <f t="shared" si="2"/>
        <v>275.96999999999997</v>
      </c>
    </row>
    <row r="56" spans="1:16" ht="13" thickBot="1" x14ac:dyDescent="0.8">
      <c r="A56" s="18"/>
      <c r="B56" s="36" t="s">
        <v>40</v>
      </c>
      <c r="C56" s="54"/>
      <c r="D56" s="58"/>
      <c r="E56" s="59"/>
      <c r="F56" s="60"/>
      <c r="G56" s="54"/>
      <c r="H56" s="59"/>
      <c r="I56" s="59"/>
      <c r="J56" s="54"/>
      <c r="K56" s="59"/>
      <c r="L56" s="59"/>
      <c r="M56" s="54"/>
      <c r="N56" s="59"/>
      <c r="O56" s="22"/>
    </row>
    <row r="57" spans="1:16" x14ac:dyDescent="0.65">
      <c r="A57" s="28">
        <v>124</v>
      </c>
      <c r="B57" s="55" t="s">
        <v>108</v>
      </c>
      <c r="C57" s="30">
        <v>200</v>
      </c>
      <c r="D57" s="30">
        <f>2/250*200</f>
        <v>1.6</v>
      </c>
      <c r="E57" s="30">
        <f>4.3/250*200</f>
        <v>3.44</v>
      </c>
      <c r="F57" s="30">
        <f>10/250*200</f>
        <v>8</v>
      </c>
      <c r="G57" s="30">
        <f>88/250*200</f>
        <v>70.399999999999991</v>
      </c>
      <c r="H57" s="47">
        <v>0.06</v>
      </c>
      <c r="I57" s="47">
        <v>18.46</v>
      </c>
      <c r="J57" s="47">
        <v>0</v>
      </c>
      <c r="K57" s="47">
        <v>43.33</v>
      </c>
      <c r="L57" s="47">
        <v>22.25</v>
      </c>
      <c r="M57" s="47">
        <v>0.8</v>
      </c>
      <c r="N57" s="47">
        <v>0</v>
      </c>
      <c r="O57" s="31">
        <v>47.63</v>
      </c>
    </row>
    <row r="58" spans="1:16" x14ac:dyDescent="0.65">
      <c r="A58" s="28">
        <v>332</v>
      </c>
      <c r="B58" s="29" t="s">
        <v>97</v>
      </c>
      <c r="C58" s="30">
        <v>150</v>
      </c>
      <c r="D58" s="30">
        <f>3.4/100*150</f>
        <v>5.1000000000000005</v>
      </c>
      <c r="E58" s="30">
        <f>6.1/100*150</f>
        <v>9.15</v>
      </c>
      <c r="F58" s="30">
        <f>22.8/100*150</f>
        <v>34.200000000000003</v>
      </c>
      <c r="G58" s="30">
        <f>163/100*150</f>
        <v>244.49999999999997</v>
      </c>
      <c r="H58" s="47">
        <v>0.06</v>
      </c>
      <c r="I58" s="47">
        <v>0</v>
      </c>
      <c r="J58" s="47">
        <v>21</v>
      </c>
      <c r="K58" s="47">
        <v>4.8600000000000003</v>
      </c>
      <c r="L58" s="47">
        <v>21.12</v>
      </c>
      <c r="M58" s="47">
        <v>1.1100000000000001</v>
      </c>
      <c r="N58" s="47">
        <v>0</v>
      </c>
      <c r="O58" s="31">
        <v>37.17</v>
      </c>
    </row>
    <row r="59" spans="1:16" x14ac:dyDescent="0.65">
      <c r="A59" s="28">
        <v>498</v>
      </c>
      <c r="B59" s="29" t="s">
        <v>109</v>
      </c>
      <c r="C59" s="30">
        <v>90</v>
      </c>
      <c r="D59" s="30">
        <v>8.32</v>
      </c>
      <c r="E59" s="30">
        <v>16</v>
      </c>
      <c r="F59" s="30">
        <v>16.96</v>
      </c>
      <c r="G59" s="30">
        <v>179.2</v>
      </c>
      <c r="H59" s="47">
        <v>0.03</v>
      </c>
      <c r="I59" s="47">
        <v>0</v>
      </c>
      <c r="J59" s="47">
        <v>0</v>
      </c>
      <c r="K59" s="47">
        <v>19.2</v>
      </c>
      <c r="L59" s="47">
        <v>16</v>
      </c>
      <c r="M59" s="47">
        <v>0</v>
      </c>
      <c r="N59" s="47">
        <v>0</v>
      </c>
      <c r="O59" s="45">
        <v>127.2</v>
      </c>
    </row>
    <row r="60" spans="1:16" x14ac:dyDescent="0.65">
      <c r="A60" s="28">
        <v>685</v>
      </c>
      <c r="B60" s="29" t="s">
        <v>41</v>
      </c>
      <c r="C60" s="30">
        <v>250</v>
      </c>
      <c r="D60" s="30">
        <v>0.3</v>
      </c>
      <c r="E60" s="30">
        <v>0</v>
      </c>
      <c r="F60" s="30">
        <v>15.2</v>
      </c>
      <c r="G60" s="30">
        <v>60</v>
      </c>
      <c r="H60" s="47">
        <v>0</v>
      </c>
      <c r="I60" s="47">
        <v>2.8</v>
      </c>
      <c r="J60" s="47">
        <v>0</v>
      </c>
      <c r="K60" s="47">
        <v>14.2</v>
      </c>
      <c r="L60" s="47">
        <v>2</v>
      </c>
      <c r="M60" s="47">
        <v>0.4</v>
      </c>
      <c r="N60" s="47">
        <v>0</v>
      </c>
      <c r="O60" s="48">
        <v>4</v>
      </c>
    </row>
    <row r="61" spans="1:16" x14ac:dyDescent="0.65">
      <c r="A61" s="61"/>
      <c r="B61" s="29" t="s">
        <v>27</v>
      </c>
      <c r="C61" s="30">
        <v>40</v>
      </c>
      <c r="D61" s="30">
        <v>3.04</v>
      </c>
      <c r="E61" s="30">
        <v>0.48</v>
      </c>
      <c r="F61" s="30">
        <v>16.68</v>
      </c>
      <c r="G61" s="30">
        <v>85.2</v>
      </c>
      <c r="H61" s="30">
        <v>0.05</v>
      </c>
      <c r="I61" s="30">
        <v>0</v>
      </c>
      <c r="J61" s="30">
        <v>0</v>
      </c>
      <c r="K61" s="30">
        <v>10.5</v>
      </c>
      <c r="L61" s="30">
        <v>14</v>
      </c>
      <c r="M61" s="30">
        <v>1.17</v>
      </c>
      <c r="N61" s="30">
        <v>0.42</v>
      </c>
      <c r="O61" s="31">
        <v>47.4</v>
      </c>
    </row>
    <row r="62" spans="1:16" ht="13" thickBot="1" x14ac:dyDescent="0.8">
      <c r="A62" s="23"/>
      <c r="B62" s="62" t="s">
        <v>42</v>
      </c>
      <c r="C62" s="56">
        <v>40</v>
      </c>
      <c r="D62" s="56">
        <v>1.36</v>
      </c>
      <c r="E62" s="56">
        <v>12.87</v>
      </c>
      <c r="F62" s="56">
        <v>25.88</v>
      </c>
      <c r="G62" s="56">
        <v>215.6</v>
      </c>
      <c r="H62" s="44">
        <v>3.2000000000000001E-2</v>
      </c>
      <c r="I62" s="44">
        <v>0</v>
      </c>
      <c r="J62" s="50">
        <v>4.0000000000000001E-3</v>
      </c>
      <c r="K62" s="44">
        <v>11.6</v>
      </c>
      <c r="L62" s="44">
        <v>8</v>
      </c>
      <c r="M62" s="44">
        <v>0.84</v>
      </c>
      <c r="N62" s="44">
        <v>1.4</v>
      </c>
      <c r="O62" s="51">
        <v>36</v>
      </c>
    </row>
    <row r="63" spans="1:16" ht="13" thickBot="1" x14ac:dyDescent="0.8">
      <c r="A63" s="52"/>
      <c r="B63" s="63" t="s">
        <v>23</v>
      </c>
      <c r="C63" s="64">
        <f>SUM(C57:C62)</f>
        <v>770</v>
      </c>
      <c r="D63" s="64">
        <f t="shared" ref="D63:O63" si="3">SUM(D57:D62)</f>
        <v>19.720000000000002</v>
      </c>
      <c r="E63" s="64">
        <f t="shared" si="3"/>
        <v>41.94</v>
      </c>
      <c r="F63" s="64">
        <f t="shared" si="3"/>
        <v>116.91999999999999</v>
      </c>
      <c r="G63" s="64">
        <f t="shared" si="3"/>
        <v>854.9</v>
      </c>
      <c r="H63" s="64">
        <f t="shared" si="3"/>
        <v>0.23200000000000001</v>
      </c>
      <c r="I63" s="64">
        <f t="shared" si="3"/>
        <v>21.26</v>
      </c>
      <c r="J63" s="64">
        <f t="shared" si="3"/>
        <v>21.004000000000001</v>
      </c>
      <c r="K63" s="64">
        <f t="shared" si="3"/>
        <v>103.69</v>
      </c>
      <c r="L63" s="64">
        <f t="shared" si="3"/>
        <v>83.37</v>
      </c>
      <c r="M63" s="64">
        <f t="shared" si="3"/>
        <v>4.32</v>
      </c>
      <c r="N63" s="64">
        <f t="shared" si="3"/>
        <v>1.8199999999999998</v>
      </c>
      <c r="O63" s="128">
        <f t="shared" si="3"/>
        <v>299.39999999999998</v>
      </c>
    </row>
    <row r="64" spans="1:16" ht="13" thickBot="1" x14ac:dyDescent="0.8">
      <c r="A64" s="18"/>
      <c r="B64" s="36" t="s">
        <v>43</v>
      </c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</row>
    <row r="65" spans="1:15" x14ac:dyDescent="0.65">
      <c r="A65" s="28">
        <v>71</v>
      </c>
      <c r="B65" s="55" t="s">
        <v>29</v>
      </c>
      <c r="C65" s="30">
        <v>150</v>
      </c>
      <c r="D65" s="30">
        <v>1.4</v>
      </c>
      <c r="E65" s="30">
        <v>10.1</v>
      </c>
      <c r="F65" s="30">
        <v>6.8</v>
      </c>
      <c r="G65" s="30">
        <v>124</v>
      </c>
      <c r="H65" s="30">
        <v>0.03</v>
      </c>
      <c r="I65" s="30">
        <v>16.2</v>
      </c>
      <c r="J65" s="30">
        <v>0</v>
      </c>
      <c r="K65" s="30">
        <v>0</v>
      </c>
      <c r="L65" s="30">
        <v>12.81</v>
      </c>
      <c r="M65" s="30">
        <v>20.13</v>
      </c>
      <c r="N65" s="30">
        <v>24.1</v>
      </c>
      <c r="O65" s="31">
        <v>0.53</v>
      </c>
    </row>
    <row r="66" spans="1:15" x14ac:dyDescent="0.65">
      <c r="A66" s="23">
        <v>463</v>
      </c>
      <c r="B66" s="29" t="s">
        <v>126</v>
      </c>
      <c r="C66" s="30">
        <v>100</v>
      </c>
      <c r="D66" s="30">
        <v>13.8</v>
      </c>
      <c r="E66" s="30">
        <v>16.399999999999999</v>
      </c>
      <c r="F66" s="30">
        <v>13.1</v>
      </c>
      <c r="G66" s="30">
        <v>257</v>
      </c>
      <c r="H66" s="30">
        <v>0.09</v>
      </c>
      <c r="I66" s="30">
        <v>0</v>
      </c>
      <c r="J66" s="30">
        <v>0.04</v>
      </c>
      <c r="K66" s="30">
        <v>39</v>
      </c>
      <c r="L66" s="30">
        <v>26</v>
      </c>
      <c r="M66" s="30">
        <v>2.8</v>
      </c>
      <c r="N66" s="30">
        <v>0.5</v>
      </c>
      <c r="O66" s="31">
        <v>185</v>
      </c>
    </row>
    <row r="67" spans="1:15" x14ac:dyDescent="0.65">
      <c r="A67" s="23">
        <v>631</v>
      </c>
      <c r="B67" s="29" t="s">
        <v>110</v>
      </c>
      <c r="C67" s="65">
        <v>250</v>
      </c>
      <c r="D67" s="47">
        <v>0.6</v>
      </c>
      <c r="E67" s="46">
        <v>0</v>
      </c>
      <c r="F67" s="47">
        <v>46.6</v>
      </c>
      <c r="G67" s="47">
        <v>182</v>
      </c>
      <c r="H67" s="47">
        <v>0</v>
      </c>
      <c r="I67" s="47">
        <v>0.8</v>
      </c>
      <c r="J67" s="47">
        <v>0</v>
      </c>
      <c r="K67" s="47">
        <v>10</v>
      </c>
      <c r="L67" s="47">
        <v>3</v>
      </c>
      <c r="M67" s="47">
        <v>0.6</v>
      </c>
      <c r="N67" s="47">
        <v>0</v>
      </c>
      <c r="O67" s="31">
        <v>6</v>
      </c>
    </row>
    <row r="68" spans="1:15" ht="13" thickBot="1" x14ac:dyDescent="0.8">
      <c r="A68" s="66"/>
      <c r="B68" s="67" t="s">
        <v>27</v>
      </c>
      <c r="C68" s="68">
        <v>40</v>
      </c>
      <c r="D68" s="69">
        <v>3</v>
      </c>
      <c r="E68" s="70">
        <v>1</v>
      </c>
      <c r="F68" s="69">
        <v>2</v>
      </c>
      <c r="G68" s="69">
        <v>22</v>
      </c>
      <c r="H68" s="71">
        <v>0.05</v>
      </c>
      <c r="I68" s="71">
        <v>0</v>
      </c>
      <c r="J68" s="71">
        <v>0</v>
      </c>
      <c r="K68" s="71">
        <v>10.5</v>
      </c>
      <c r="L68" s="71">
        <v>14</v>
      </c>
      <c r="M68" s="71">
        <v>1.17</v>
      </c>
      <c r="N68" s="71">
        <v>0.42</v>
      </c>
      <c r="O68" s="72">
        <v>47.4</v>
      </c>
    </row>
    <row r="69" spans="1:15" ht="13" thickBot="1" x14ac:dyDescent="0.8">
      <c r="A69" s="35"/>
      <c r="B69" s="132" t="s">
        <v>23</v>
      </c>
      <c r="C69" s="11">
        <f>SUM(C65:C68)</f>
        <v>540</v>
      </c>
      <c r="D69" s="11">
        <f t="shared" ref="D69:O69" si="4">SUM(D65:D68)</f>
        <v>18.8</v>
      </c>
      <c r="E69" s="11">
        <f t="shared" si="4"/>
        <v>27.5</v>
      </c>
      <c r="F69" s="11">
        <f t="shared" si="4"/>
        <v>68.5</v>
      </c>
      <c r="G69" s="11">
        <f t="shared" si="4"/>
        <v>585</v>
      </c>
      <c r="H69" s="11">
        <f t="shared" si="4"/>
        <v>0.16999999999999998</v>
      </c>
      <c r="I69" s="11">
        <f t="shared" si="4"/>
        <v>17</v>
      </c>
      <c r="J69" s="11">
        <f t="shared" si="4"/>
        <v>0.04</v>
      </c>
      <c r="K69" s="11">
        <f t="shared" si="4"/>
        <v>59.5</v>
      </c>
      <c r="L69" s="11">
        <f t="shared" si="4"/>
        <v>55.81</v>
      </c>
      <c r="M69" s="11">
        <f t="shared" si="4"/>
        <v>24.700000000000003</v>
      </c>
      <c r="N69" s="11">
        <f t="shared" si="4"/>
        <v>25.020000000000003</v>
      </c>
      <c r="O69" s="133">
        <f t="shared" si="4"/>
        <v>238.93</v>
      </c>
    </row>
    <row r="70" spans="1:15" ht="13" thickBot="1" x14ac:dyDescent="0.8">
      <c r="A70" s="14"/>
      <c r="B70" s="15" t="s">
        <v>44</v>
      </c>
      <c r="C70" s="75"/>
      <c r="D70" s="16"/>
      <c r="E70" s="75"/>
      <c r="F70" s="16"/>
      <c r="G70" s="75"/>
      <c r="H70" s="16"/>
      <c r="I70" s="75"/>
      <c r="J70" s="16"/>
      <c r="K70" s="75"/>
      <c r="L70" s="16"/>
      <c r="M70" s="75"/>
      <c r="N70" s="76"/>
      <c r="O70" s="17"/>
    </row>
    <row r="71" spans="1:15" ht="13" thickBot="1" x14ac:dyDescent="0.8">
      <c r="A71" s="18"/>
      <c r="B71" s="36" t="s">
        <v>37</v>
      </c>
      <c r="C71" s="54"/>
      <c r="D71" s="59"/>
      <c r="E71" s="54"/>
      <c r="F71" s="59"/>
      <c r="G71" s="54"/>
      <c r="H71" s="59"/>
      <c r="I71" s="54"/>
      <c r="J71" s="59"/>
      <c r="K71" s="54"/>
      <c r="L71" s="59"/>
      <c r="M71" s="54"/>
      <c r="N71" s="58"/>
      <c r="O71" s="22"/>
    </row>
    <row r="72" spans="1:15" x14ac:dyDescent="0.65">
      <c r="A72" s="23">
        <v>302</v>
      </c>
      <c r="B72" s="55" t="s">
        <v>100</v>
      </c>
      <c r="C72" s="30">
        <v>250</v>
      </c>
      <c r="D72" s="30">
        <v>8.36</v>
      </c>
      <c r="E72" s="30">
        <v>11</v>
      </c>
      <c r="F72" s="30">
        <v>42.7</v>
      </c>
      <c r="G72" s="30">
        <v>310</v>
      </c>
      <c r="H72" s="30">
        <v>0.14000000000000001</v>
      </c>
      <c r="I72" s="30">
        <v>1.38</v>
      </c>
      <c r="J72" s="30">
        <v>8.4000000000000005E-2</v>
      </c>
      <c r="K72" s="30">
        <v>163.6</v>
      </c>
      <c r="L72" s="30">
        <v>50</v>
      </c>
      <c r="M72" s="30">
        <v>2.38</v>
      </c>
      <c r="N72" s="77">
        <v>0.24</v>
      </c>
      <c r="O72" s="31">
        <v>228.3</v>
      </c>
    </row>
    <row r="73" spans="1:15" x14ac:dyDescent="0.65">
      <c r="A73" s="23"/>
      <c r="B73" s="137" t="s">
        <v>107</v>
      </c>
      <c r="C73" s="56">
        <v>40</v>
      </c>
      <c r="D73" s="56">
        <v>3</v>
      </c>
      <c r="E73" s="56">
        <v>1</v>
      </c>
      <c r="F73" s="56">
        <v>2</v>
      </c>
      <c r="G73" s="56">
        <v>22</v>
      </c>
      <c r="H73" s="56">
        <v>0.03</v>
      </c>
      <c r="I73" s="56">
        <v>0</v>
      </c>
      <c r="J73" s="56">
        <v>4.0000000000000001E-3</v>
      </c>
      <c r="K73" s="56">
        <v>11.6</v>
      </c>
      <c r="L73" s="56">
        <v>8</v>
      </c>
      <c r="M73" s="56">
        <v>0.84</v>
      </c>
      <c r="N73" s="79">
        <v>1.4</v>
      </c>
      <c r="O73" s="51">
        <v>36</v>
      </c>
    </row>
    <row r="74" spans="1:15" ht="13" thickBot="1" x14ac:dyDescent="0.8">
      <c r="A74" s="23">
        <v>692</v>
      </c>
      <c r="B74" s="78" t="s">
        <v>88</v>
      </c>
      <c r="C74" s="56">
        <v>250</v>
      </c>
      <c r="D74" s="56">
        <v>2.5</v>
      </c>
      <c r="E74" s="56">
        <v>3.6</v>
      </c>
      <c r="F74" s="56">
        <v>28.7</v>
      </c>
      <c r="G74" s="56">
        <v>152</v>
      </c>
      <c r="H74" s="56">
        <v>0.02</v>
      </c>
      <c r="I74" s="56">
        <v>4</v>
      </c>
      <c r="J74" s="56">
        <v>0</v>
      </c>
      <c r="K74" s="56">
        <v>20</v>
      </c>
      <c r="L74" s="56">
        <v>0</v>
      </c>
      <c r="M74" s="56">
        <v>0.2</v>
      </c>
      <c r="N74" s="79">
        <v>0</v>
      </c>
      <c r="O74" s="51">
        <v>0</v>
      </c>
    </row>
    <row r="75" spans="1:15" ht="13" thickBot="1" x14ac:dyDescent="0.8">
      <c r="A75" s="52"/>
      <c r="B75" s="53" t="s">
        <v>23</v>
      </c>
      <c r="C75" s="64">
        <f>SUM(C72:C74)</f>
        <v>540</v>
      </c>
      <c r="D75" s="64">
        <f t="shared" ref="D75:O75" si="5">SUM(D72:D74)</f>
        <v>13.86</v>
      </c>
      <c r="E75" s="64">
        <f t="shared" si="5"/>
        <v>15.6</v>
      </c>
      <c r="F75" s="64">
        <f t="shared" si="5"/>
        <v>73.400000000000006</v>
      </c>
      <c r="G75" s="64">
        <f t="shared" si="5"/>
        <v>484</v>
      </c>
      <c r="H75" s="64">
        <f t="shared" si="5"/>
        <v>0.19</v>
      </c>
      <c r="I75" s="64">
        <f t="shared" si="5"/>
        <v>5.38</v>
      </c>
      <c r="J75" s="64">
        <f t="shared" si="5"/>
        <v>8.8000000000000009E-2</v>
      </c>
      <c r="K75" s="64">
        <f t="shared" si="5"/>
        <v>195.2</v>
      </c>
      <c r="L75" s="64">
        <f t="shared" si="5"/>
        <v>58</v>
      </c>
      <c r="M75" s="64">
        <f t="shared" si="5"/>
        <v>3.42</v>
      </c>
      <c r="N75" s="64">
        <f t="shared" si="5"/>
        <v>1.64</v>
      </c>
      <c r="O75" s="128">
        <f t="shared" si="5"/>
        <v>264.3</v>
      </c>
    </row>
    <row r="76" spans="1:15" ht="13" thickBot="1" x14ac:dyDescent="0.8">
      <c r="A76" s="80"/>
      <c r="B76" s="36" t="s">
        <v>38</v>
      </c>
      <c r="C76" s="81"/>
      <c r="D76" s="82"/>
      <c r="E76" s="83"/>
      <c r="F76" s="82"/>
      <c r="G76" s="82"/>
      <c r="H76" s="59"/>
      <c r="I76" s="59"/>
      <c r="J76" s="59"/>
      <c r="K76" s="59"/>
      <c r="L76" s="59"/>
      <c r="M76" s="59"/>
      <c r="N76" s="58"/>
      <c r="O76" s="84"/>
    </row>
    <row r="77" spans="1:15" x14ac:dyDescent="0.65">
      <c r="A77" s="28">
        <v>520</v>
      </c>
      <c r="B77" s="55" t="s">
        <v>26</v>
      </c>
      <c r="C77" s="30">
        <v>150</v>
      </c>
      <c r="D77" s="46">
        <v>8</v>
      </c>
      <c r="E77" s="46">
        <v>12</v>
      </c>
      <c r="F77" s="46">
        <v>28</v>
      </c>
      <c r="G77" s="46">
        <v>208</v>
      </c>
      <c r="H77" s="46">
        <v>0.18</v>
      </c>
      <c r="I77" s="46">
        <v>0</v>
      </c>
      <c r="J77" s="46">
        <v>0.02</v>
      </c>
      <c r="K77" s="46">
        <v>0</v>
      </c>
      <c r="L77" s="46">
        <v>67.5</v>
      </c>
      <c r="M77" s="46">
        <v>12.98</v>
      </c>
      <c r="N77" s="46">
        <v>208.5</v>
      </c>
      <c r="O77" s="85">
        <v>3.95</v>
      </c>
    </row>
    <row r="78" spans="1:15" x14ac:dyDescent="0.65">
      <c r="A78" s="28">
        <v>498</v>
      </c>
      <c r="B78" s="29" t="s">
        <v>109</v>
      </c>
      <c r="C78" s="30">
        <v>90</v>
      </c>
      <c r="D78" s="30">
        <v>16.7</v>
      </c>
      <c r="E78" s="30">
        <v>12.1</v>
      </c>
      <c r="F78" s="30">
        <v>16.3</v>
      </c>
      <c r="G78" s="30">
        <v>244</v>
      </c>
      <c r="H78" s="30">
        <v>0.17</v>
      </c>
      <c r="I78" s="30">
        <v>1.28</v>
      </c>
      <c r="J78" s="30">
        <v>0</v>
      </c>
      <c r="K78" s="30">
        <v>0</v>
      </c>
      <c r="L78" s="30">
        <v>26.01</v>
      </c>
      <c r="M78" s="30">
        <v>24.36</v>
      </c>
      <c r="N78" s="30">
        <v>194.6</v>
      </c>
      <c r="O78" s="31">
        <v>2.3199999999999998</v>
      </c>
    </row>
    <row r="79" spans="1:15" x14ac:dyDescent="0.65">
      <c r="A79" s="28">
        <v>685</v>
      </c>
      <c r="B79" s="29" t="s">
        <v>24</v>
      </c>
      <c r="C79" s="30">
        <v>250</v>
      </c>
      <c r="D79" s="30">
        <v>0.2</v>
      </c>
      <c r="E79" s="30">
        <v>0</v>
      </c>
      <c r="F79" s="30">
        <v>0</v>
      </c>
      <c r="G79" s="30">
        <v>4.5999999999999996</v>
      </c>
      <c r="H79" s="30">
        <v>0</v>
      </c>
      <c r="I79" s="30">
        <v>0</v>
      </c>
      <c r="J79" s="30">
        <v>0</v>
      </c>
      <c r="K79" s="30">
        <v>1</v>
      </c>
      <c r="L79" s="30">
        <v>0</v>
      </c>
      <c r="M79" s="30">
        <v>0.1</v>
      </c>
      <c r="N79" s="30">
        <v>0</v>
      </c>
      <c r="O79" s="31">
        <v>0</v>
      </c>
    </row>
    <row r="80" spans="1:15" ht="13" thickBot="1" x14ac:dyDescent="0.8">
      <c r="A80" s="23"/>
      <c r="B80" s="49" t="s">
        <v>119</v>
      </c>
      <c r="C80" s="56">
        <v>30</v>
      </c>
      <c r="D80" s="56">
        <v>3</v>
      </c>
      <c r="E80" s="56">
        <v>1</v>
      </c>
      <c r="F80" s="56">
        <v>2</v>
      </c>
      <c r="G80" s="56">
        <v>22</v>
      </c>
      <c r="H80" s="56">
        <v>0.06</v>
      </c>
      <c r="I80" s="56">
        <v>0</v>
      </c>
      <c r="J80" s="56">
        <v>0.05</v>
      </c>
      <c r="K80" s="56">
        <v>15</v>
      </c>
      <c r="L80" s="56">
        <v>7</v>
      </c>
      <c r="M80" s="56">
        <v>0.6</v>
      </c>
      <c r="N80" s="56">
        <v>0.7</v>
      </c>
      <c r="O80" s="51">
        <v>42</v>
      </c>
    </row>
    <row r="81" spans="1:15" ht="13" thickBot="1" x14ac:dyDescent="0.8">
      <c r="A81" s="52"/>
      <c r="B81" s="53" t="s">
        <v>23</v>
      </c>
      <c r="C81" s="64">
        <f>SUM(C77:C80)</f>
        <v>520</v>
      </c>
      <c r="D81" s="64">
        <f t="shared" ref="D81:O81" si="6">SUM(D77:D80)</f>
        <v>27.9</v>
      </c>
      <c r="E81" s="64">
        <f t="shared" si="6"/>
        <v>25.1</v>
      </c>
      <c r="F81" s="64">
        <f t="shared" si="6"/>
        <v>46.3</v>
      </c>
      <c r="G81" s="64">
        <f t="shared" si="6"/>
        <v>478.6</v>
      </c>
      <c r="H81" s="64">
        <f t="shared" si="6"/>
        <v>0.41</v>
      </c>
      <c r="I81" s="64">
        <f t="shared" si="6"/>
        <v>1.28</v>
      </c>
      <c r="J81" s="64">
        <f t="shared" si="6"/>
        <v>7.0000000000000007E-2</v>
      </c>
      <c r="K81" s="64">
        <f t="shared" si="6"/>
        <v>16</v>
      </c>
      <c r="L81" s="64">
        <f t="shared" si="6"/>
        <v>100.51</v>
      </c>
      <c r="M81" s="64">
        <f t="shared" si="6"/>
        <v>38.040000000000006</v>
      </c>
      <c r="N81" s="64">
        <f t="shared" si="6"/>
        <v>403.8</v>
      </c>
      <c r="O81" s="128">
        <f t="shared" si="6"/>
        <v>48.269999999999996</v>
      </c>
    </row>
    <row r="82" spans="1:15" ht="13" thickBot="1" x14ac:dyDescent="0.8">
      <c r="A82" s="18"/>
      <c r="B82" s="36" t="s">
        <v>39</v>
      </c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2"/>
    </row>
    <row r="83" spans="1:15" x14ac:dyDescent="0.65">
      <c r="A83" s="28">
        <v>25</v>
      </c>
      <c r="B83" s="55" t="s">
        <v>74</v>
      </c>
      <c r="C83" s="30">
        <v>100</v>
      </c>
      <c r="D83" s="30">
        <v>1.25</v>
      </c>
      <c r="E83" s="30">
        <v>2.4300000000000002</v>
      </c>
      <c r="F83" s="30">
        <v>3.89</v>
      </c>
      <c r="G83" s="30">
        <v>49</v>
      </c>
      <c r="H83" s="30">
        <v>0.16</v>
      </c>
      <c r="I83" s="30">
        <v>11.37</v>
      </c>
      <c r="J83" s="30">
        <v>1.6E-2</v>
      </c>
      <c r="K83" s="30">
        <v>0</v>
      </c>
      <c r="L83" s="30">
        <v>25.67</v>
      </c>
      <c r="M83" s="30">
        <v>44.89</v>
      </c>
      <c r="N83" s="30">
        <v>72.87</v>
      </c>
      <c r="O83" s="31">
        <v>2.09</v>
      </c>
    </row>
    <row r="84" spans="1:15" x14ac:dyDescent="0.65">
      <c r="A84" s="28">
        <v>132</v>
      </c>
      <c r="B84" s="29" t="s">
        <v>47</v>
      </c>
      <c r="C84" s="46">
        <v>250</v>
      </c>
      <c r="D84" s="47">
        <v>3</v>
      </c>
      <c r="E84" s="46">
        <v>4.5</v>
      </c>
      <c r="F84" s="47">
        <v>20.100000000000001</v>
      </c>
      <c r="G84" s="47">
        <v>135</v>
      </c>
      <c r="H84" s="47">
        <v>0.1</v>
      </c>
      <c r="I84" s="47">
        <v>7.54</v>
      </c>
      <c r="J84" s="47">
        <v>0</v>
      </c>
      <c r="K84" s="47">
        <v>0</v>
      </c>
      <c r="L84" s="47">
        <v>25.9</v>
      </c>
      <c r="M84" s="47">
        <v>26.45</v>
      </c>
      <c r="N84" s="47">
        <v>71.95</v>
      </c>
      <c r="O84" s="31">
        <v>0.98</v>
      </c>
    </row>
    <row r="85" spans="1:15" x14ac:dyDescent="0.65">
      <c r="A85" s="28">
        <v>500</v>
      </c>
      <c r="B85" s="29" t="s">
        <v>89</v>
      </c>
      <c r="C85" s="46">
        <v>180</v>
      </c>
      <c r="D85" s="47">
        <v>5.8</v>
      </c>
      <c r="E85" s="46">
        <v>5.2</v>
      </c>
      <c r="F85" s="47">
        <v>28.4</v>
      </c>
      <c r="G85" s="47">
        <v>186</v>
      </c>
      <c r="H85" s="30">
        <v>0.14000000000000001</v>
      </c>
      <c r="I85" s="30">
        <v>18.170000000000002</v>
      </c>
      <c r="J85" s="30">
        <v>25.5</v>
      </c>
      <c r="K85" s="30">
        <v>0</v>
      </c>
      <c r="L85" s="30">
        <v>27.75</v>
      </c>
      <c r="M85" s="30">
        <v>36.979999999999997</v>
      </c>
      <c r="N85" s="30">
        <v>86.6</v>
      </c>
      <c r="O85" s="31">
        <v>1.01</v>
      </c>
    </row>
    <row r="86" spans="1:15" s="1" customFormat="1" x14ac:dyDescent="0.65">
      <c r="A86" s="28">
        <v>452</v>
      </c>
      <c r="B86" s="29" t="s">
        <v>113</v>
      </c>
      <c r="C86" s="46">
        <v>100</v>
      </c>
      <c r="D86" s="47">
        <v>7.95</v>
      </c>
      <c r="E86" s="47">
        <v>7.2</v>
      </c>
      <c r="F86" s="47">
        <v>8</v>
      </c>
      <c r="G86" s="47">
        <v>130.5</v>
      </c>
      <c r="H86" s="47">
        <v>7.0000000000000007E-2</v>
      </c>
      <c r="I86" s="47">
        <v>0.4</v>
      </c>
      <c r="J86" s="47">
        <v>0.02</v>
      </c>
      <c r="K86" s="47">
        <v>35</v>
      </c>
      <c r="L86" s="47">
        <v>23</v>
      </c>
      <c r="M86" s="47">
        <v>0.6</v>
      </c>
      <c r="N86" s="47">
        <v>1</v>
      </c>
      <c r="O86" s="45">
        <v>160</v>
      </c>
    </row>
    <row r="87" spans="1:15" x14ac:dyDescent="0.65">
      <c r="A87" s="28">
        <v>639</v>
      </c>
      <c r="B87" s="29" t="s">
        <v>136</v>
      </c>
      <c r="C87" s="30">
        <v>250</v>
      </c>
      <c r="D87" s="30">
        <v>0.6</v>
      </c>
      <c r="E87" s="30">
        <v>0</v>
      </c>
      <c r="F87" s="30">
        <v>43.8</v>
      </c>
      <c r="G87" s="30">
        <v>176</v>
      </c>
      <c r="H87" s="30">
        <v>0.01</v>
      </c>
      <c r="I87" s="30">
        <v>2.1</v>
      </c>
      <c r="J87" s="30">
        <v>0</v>
      </c>
      <c r="K87" s="30">
        <v>11</v>
      </c>
      <c r="L87" s="30">
        <v>7</v>
      </c>
      <c r="M87" s="30">
        <v>0.7</v>
      </c>
      <c r="N87" s="30">
        <v>0.1</v>
      </c>
      <c r="O87" s="31">
        <v>8</v>
      </c>
    </row>
    <row r="88" spans="1:15" ht="13" thickBot="1" x14ac:dyDescent="0.8">
      <c r="A88" s="23"/>
      <c r="B88" s="49" t="s">
        <v>27</v>
      </c>
      <c r="C88" s="56">
        <v>60</v>
      </c>
      <c r="D88" s="56">
        <v>6</v>
      </c>
      <c r="E88" s="56">
        <v>2</v>
      </c>
      <c r="F88" s="56">
        <v>4</v>
      </c>
      <c r="G88" s="56">
        <v>44</v>
      </c>
      <c r="H88" s="56">
        <v>0.05</v>
      </c>
      <c r="I88" s="56">
        <v>0</v>
      </c>
      <c r="J88" s="56">
        <v>0</v>
      </c>
      <c r="K88" s="56">
        <v>10.5</v>
      </c>
      <c r="L88" s="56">
        <v>14</v>
      </c>
      <c r="M88" s="56">
        <v>1.17</v>
      </c>
      <c r="N88" s="56">
        <v>0.42</v>
      </c>
      <c r="O88" s="51">
        <v>47.4</v>
      </c>
    </row>
    <row r="89" spans="1:15" ht="13" thickBot="1" x14ac:dyDescent="0.8">
      <c r="A89" s="86"/>
      <c r="B89" s="53" t="s">
        <v>23</v>
      </c>
      <c r="C89" s="87">
        <f>SUM(C83:C88)</f>
        <v>940</v>
      </c>
      <c r="D89" s="87">
        <f t="shared" ref="D89:O89" si="7">SUM(D83:D88)</f>
        <v>24.6</v>
      </c>
      <c r="E89" s="87">
        <f t="shared" si="7"/>
        <v>21.33</v>
      </c>
      <c r="F89" s="87">
        <f t="shared" si="7"/>
        <v>108.19</v>
      </c>
      <c r="G89" s="87">
        <f t="shared" si="7"/>
        <v>720.5</v>
      </c>
      <c r="H89" s="87">
        <f t="shared" si="7"/>
        <v>0.53</v>
      </c>
      <c r="I89" s="87">
        <f t="shared" si="7"/>
        <v>39.58</v>
      </c>
      <c r="J89" s="87">
        <f t="shared" si="7"/>
        <v>25.535999999999998</v>
      </c>
      <c r="K89" s="87">
        <f t="shared" si="7"/>
        <v>56.5</v>
      </c>
      <c r="L89" s="87">
        <f t="shared" si="7"/>
        <v>123.32</v>
      </c>
      <c r="M89" s="87">
        <f t="shared" si="7"/>
        <v>110.78999999999999</v>
      </c>
      <c r="N89" s="87">
        <f t="shared" si="7"/>
        <v>232.93999999999997</v>
      </c>
      <c r="O89" s="134">
        <f t="shared" si="7"/>
        <v>219.48000000000002</v>
      </c>
    </row>
    <row r="90" spans="1:15" ht="13" thickBot="1" x14ac:dyDescent="0.8">
      <c r="A90" s="18"/>
      <c r="B90" s="36" t="s">
        <v>40</v>
      </c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2"/>
    </row>
    <row r="91" spans="1:15" x14ac:dyDescent="0.65">
      <c r="A91" s="28">
        <v>132</v>
      </c>
      <c r="B91" s="55" t="s">
        <v>47</v>
      </c>
      <c r="C91" s="30">
        <v>200</v>
      </c>
      <c r="D91" s="30">
        <f>3/250*200</f>
        <v>2.4</v>
      </c>
      <c r="E91" s="30">
        <f>4.5/250*200</f>
        <v>3.5999999999999996</v>
      </c>
      <c r="F91" s="30">
        <f>20.1/250*200</f>
        <v>16.079999999999998</v>
      </c>
      <c r="G91" s="30">
        <f>135/250*200</f>
        <v>108</v>
      </c>
      <c r="H91" s="47">
        <v>0.1</v>
      </c>
      <c r="I91" s="47">
        <v>7.54</v>
      </c>
      <c r="J91" s="47">
        <v>0</v>
      </c>
      <c r="K91" s="47">
        <v>0</v>
      </c>
      <c r="L91" s="47">
        <v>25.9</v>
      </c>
      <c r="M91" s="47">
        <v>26.45</v>
      </c>
      <c r="N91" s="47">
        <v>71.95</v>
      </c>
      <c r="O91" s="31">
        <v>0.98</v>
      </c>
    </row>
    <row r="92" spans="1:15" x14ac:dyDescent="0.65">
      <c r="A92" s="23">
        <v>214</v>
      </c>
      <c r="B92" s="49" t="s">
        <v>32</v>
      </c>
      <c r="C92" s="56">
        <v>150</v>
      </c>
      <c r="D92" s="56">
        <v>5.55</v>
      </c>
      <c r="E92" s="56">
        <v>5.4</v>
      </c>
      <c r="F92" s="56">
        <v>5.85</v>
      </c>
      <c r="G92" s="56">
        <v>94.5</v>
      </c>
      <c r="H92" s="56">
        <v>0.06</v>
      </c>
      <c r="I92" s="56">
        <v>25.5</v>
      </c>
      <c r="J92" s="56">
        <v>0.04</v>
      </c>
      <c r="K92" s="56">
        <v>91.5</v>
      </c>
      <c r="L92" s="56">
        <v>36</v>
      </c>
      <c r="M92" s="56">
        <v>1.5</v>
      </c>
      <c r="N92" s="56">
        <v>1.05</v>
      </c>
      <c r="O92" s="51">
        <v>82.5</v>
      </c>
    </row>
    <row r="93" spans="1:15" x14ac:dyDescent="0.65">
      <c r="A93" s="28">
        <v>452</v>
      </c>
      <c r="B93" s="29" t="s">
        <v>113</v>
      </c>
      <c r="C93" s="30">
        <v>90</v>
      </c>
      <c r="D93" s="30">
        <f>7.4/50*80</f>
        <v>11.840000000000002</v>
      </c>
      <c r="E93" s="30">
        <f>1.5/50*80</f>
        <v>2.4</v>
      </c>
      <c r="F93" s="30">
        <f>5/50*80</f>
        <v>8</v>
      </c>
      <c r="G93" s="30">
        <f>63/50*80</f>
        <v>100.8</v>
      </c>
      <c r="H93" s="30">
        <v>7.0000000000000007E-2</v>
      </c>
      <c r="I93" s="30">
        <v>0.4</v>
      </c>
      <c r="J93" s="30">
        <v>0.02</v>
      </c>
      <c r="K93" s="30">
        <v>35</v>
      </c>
      <c r="L93" s="30">
        <v>23</v>
      </c>
      <c r="M93" s="30">
        <v>0.6</v>
      </c>
      <c r="N93" s="30">
        <v>1</v>
      </c>
      <c r="O93" s="31">
        <v>160</v>
      </c>
    </row>
    <row r="94" spans="1:15" x14ac:dyDescent="0.65">
      <c r="A94" s="28">
        <v>631</v>
      </c>
      <c r="B94" s="29" t="s">
        <v>112</v>
      </c>
      <c r="C94" s="30">
        <v>200</v>
      </c>
      <c r="D94" s="30">
        <v>0.2</v>
      </c>
      <c r="E94" s="30">
        <v>0</v>
      </c>
      <c r="F94" s="30">
        <f>17.2*2</f>
        <v>34.4</v>
      </c>
      <c r="G94" s="30">
        <f>73*2</f>
        <v>146</v>
      </c>
      <c r="H94" s="30">
        <v>0.01</v>
      </c>
      <c r="I94" s="30">
        <v>2.1</v>
      </c>
      <c r="J94" s="30">
        <v>0</v>
      </c>
      <c r="K94" s="30">
        <v>11</v>
      </c>
      <c r="L94" s="30">
        <v>7</v>
      </c>
      <c r="M94" s="30">
        <v>0.7</v>
      </c>
      <c r="N94" s="30">
        <v>0.1</v>
      </c>
      <c r="O94" s="31">
        <v>8</v>
      </c>
    </row>
    <row r="95" spans="1:15" x14ac:dyDescent="0.65">
      <c r="A95" s="28"/>
      <c r="B95" s="29" t="s">
        <v>27</v>
      </c>
      <c r="C95" s="30">
        <v>40</v>
      </c>
      <c r="D95" s="30">
        <v>3.04</v>
      </c>
      <c r="E95" s="30">
        <v>0.48</v>
      </c>
      <c r="F95" s="30">
        <v>16.68</v>
      </c>
      <c r="G95" s="30">
        <v>85.2</v>
      </c>
      <c r="H95" s="30">
        <v>0.05</v>
      </c>
      <c r="I95" s="30">
        <v>0</v>
      </c>
      <c r="J95" s="30">
        <v>0</v>
      </c>
      <c r="K95" s="30">
        <v>10.5</v>
      </c>
      <c r="L95" s="30">
        <v>14</v>
      </c>
      <c r="M95" s="30">
        <v>1.17</v>
      </c>
      <c r="N95" s="30">
        <v>0.42</v>
      </c>
      <c r="O95" s="31">
        <v>47.4</v>
      </c>
    </row>
    <row r="96" spans="1:15" ht="13" thickBot="1" x14ac:dyDescent="0.8">
      <c r="A96" s="23"/>
      <c r="B96" s="49" t="s">
        <v>48</v>
      </c>
      <c r="C96" s="56">
        <v>40</v>
      </c>
      <c r="D96" s="56">
        <v>1.92</v>
      </c>
      <c r="E96" s="56">
        <v>1.1200000000000001</v>
      </c>
      <c r="F96" s="56">
        <v>31.08</v>
      </c>
      <c r="G96" s="56">
        <v>142.08000000000001</v>
      </c>
      <c r="H96" s="56">
        <v>2.4E-2</v>
      </c>
      <c r="I96" s="56">
        <v>0</v>
      </c>
      <c r="J96" s="56">
        <v>0</v>
      </c>
      <c r="K96" s="56">
        <v>3.3</v>
      </c>
      <c r="L96" s="56">
        <v>2.7</v>
      </c>
      <c r="M96" s="56">
        <v>0.24</v>
      </c>
      <c r="N96" s="56">
        <v>0.72</v>
      </c>
      <c r="O96" s="51">
        <v>15</v>
      </c>
    </row>
    <row r="97" spans="1:15" ht="13" thickBot="1" x14ac:dyDescent="0.8">
      <c r="A97" s="52"/>
      <c r="B97" s="53" t="s">
        <v>23</v>
      </c>
      <c r="C97" s="64">
        <f>SUM(C91:C96)</f>
        <v>720</v>
      </c>
      <c r="D97" s="64">
        <f t="shared" ref="D97:O97" si="8">SUM(D91:D96)</f>
        <v>24.949999999999996</v>
      </c>
      <c r="E97" s="64">
        <f t="shared" si="8"/>
        <v>13</v>
      </c>
      <c r="F97" s="64">
        <f t="shared" si="8"/>
        <v>112.08999999999999</v>
      </c>
      <c r="G97" s="64">
        <f t="shared" si="8"/>
        <v>676.58</v>
      </c>
      <c r="H97" s="64">
        <f t="shared" si="8"/>
        <v>0.31400000000000006</v>
      </c>
      <c r="I97" s="64">
        <f t="shared" si="8"/>
        <v>35.54</v>
      </c>
      <c r="J97" s="64">
        <f t="shared" si="8"/>
        <v>0.06</v>
      </c>
      <c r="K97" s="64">
        <f t="shared" si="8"/>
        <v>151.30000000000001</v>
      </c>
      <c r="L97" s="64">
        <f t="shared" si="8"/>
        <v>108.60000000000001</v>
      </c>
      <c r="M97" s="64">
        <f t="shared" si="8"/>
        <v>30.66</v>
      </c>
      <c r="N97" s="64">
        <f t="shared" si="8"/>
        <v>75.239999999999995</v>
      </c>
      <c r="O97" s="128">
        <f t="shared" si="8"/>
        <v>313.88</v>
      </c>
    </row>
    <row r="98" spans="1:15" ht="13" thickBot="1" x14ac:dyDescent="0.8">
      <c r="A98" s="88"/>
      <c r="B98" s="36" t="s">
        <v>43</v>
      </c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</row>
    <row r="99" spans="1:15" x14ac:dyDescent="0.65">
      <c r="A99" s="28">
        <v>216</v>
      </c>
      <c r="B99" s="55" t="s">
        <v>49</v>
      </c>
      <c r="C99" s="30">
        <v>180</v>
      </c>
      <c r="D99" s="30">
        <f>2.1/100*180</f>
        <v>3.7800000000000002</v>
      </c>
      <c r="E99" s="30">
        <f>6.4/100*180</f>
        <v>11.52</v>
      </c>
      <c r="F99" s="30">
        <f>18.5/100*180</f>
        <v>33.299999999999997</v>
      </c>
      <c r="G99" s="30">
        <f>121/100*180</f>
        <v>217.79999999999998</v>
      </c>
      <c r="H99" s="30">
        <v>0.06</v>
      </c>
      <c r="I99" s="30">
        <v>25.5</v>
      </c>
      <c r="J99" s="30">
        <v>0.04</v>
      </c>
      <c r="K99" s="30">
        <v>91.5</v>
      </c>
      <c r="L99" s="30">
        <v>36</v>
      </c>
      <c r="M99" s="30">
        <v>1.5</v>
      </c>
      <c r="N99" s="30">
        <v>1.05</v>
      </c>
      <c r="O99" s="31">
        <v>82.5</v>
      </c>
    </row>
    <row r="100" spans="1:15" x14ac:dyDescent="0.65">
      <c r="A100" s="28">
        <v>50</v>
      </c>
      <c r="B100" s="29" t="s">
        <v>36</v>
      </c>
      <c r="C100" s="46">
        <v>180</v>
      </c>
      <c r="D100" s="47">
        <v>1.5</v>
      </c>
      <c r="E100" s="46">
        <v>5.5</v>
      </c>
      <c r="F100" s="47">
        <v>8.4</v>
      </c>
      <c r="G100" s="47">
        <v>89</v>
      </c>
      <c r="H100" s="47">
        <v>0.02</v>
      </c>
      <c r="I100" s="47">
        <v>5.7</v>
      </c>
      <c r="J100" s="47">
        <v>0</v>
      </c>
      <c r="K100" s="47">
        <v>33</v>
      </c>
      <c r="L100" s="47">
        <v>19</v>
      </c>
      <c r="M100" s="47">
        <v>1.3</v>
      </c>
      <c r="N100" s="47">
        <v>2.2999999999999998</v>
      </c>
      <c r="O100" s="31">
        <v>38</v>
      </c>
    </row>
    <row r="101" spans="1:15" x14ac:dyDescent="0.65">
      <c r="A101" s="23">
        <v>631</v>
      </c>
      <c r="B101" s="49" t="s">
        <v>117</v>
      </c>
      <c r="C101" s="26">
        <v>200</v>
      </c>
      <c r="D101" s="44">
        <f>0.5*2</f>
        <v>1</v>
      </c>
      <c r="E101" s="26">
        <v>0</v>
      </c>
      <c r="F101" s="44">
        <f>10.6*2</f>
        <v>21.2</v>
      </c>
      <c r="G101" s="44">
        <f>44*2</f>
        <v>88</v>
      </c>
      <c r="H101" s="56">
        <v>0.02</v>
      </c>
      <c r="I101" s="56">
        <v>4</v>
      </c>
      <c r="J101" s="56">
        <v>0</v>
      </c>
      <c r="K101" s="56">
        <v>14</v>
      </c>
      <c r="L101" s="56">
        <v>0</v>
      </c>
      <c r="M101" s="56">
        <v>2.8</v>
      </c>
      <c r="N101" s="56">
        <v>0</v>
      </c>
      <c r="O101" s="51">
        <v>0</v>
      </c>
    </row>
    <row r="102" spans="1:15" ht="13" thickBot="1" x14ac:dyDescent="0.8">
      <c r="A102" s="23"/>
      <c r="B102" s="49" t="s">
        <v>27</v>
      </c>
      <c r="C102" s="26">
        <v>40</v>
      </c>
      <c r="D102" s="44">
        <v>3.04</v>
      </c>
      <c r="E102" s="44">
        <v>0.48</v>
      </c>
      <c r="F102" s="44">
        <v>16.68</v>
      </c>
      <c r="G102" s="44">
        <v>85.2</v>
      </c>
      <c r="H102" s="44">
        <v>0.05</v>
      </c>
      <c r="I102" s="44">
        <v>0</v>
      </c>
      <c r="J102" s="44">
        <v>0</v>
      </c>
      <c r="K102" s="44">
        <v>10.5</v>
      </c>
      <c r="L102" s="44">
        <v>14</v>
      </c>
      <c r="M102" s="44">
        <v>1.17</v>
      </c>
      <c r="N102" s="44">
        <v>0.42</v>
      </c>
      <c r="O102" s="92">
        <v>47.4</v>
      </c>
    </row>
    <row r="103" spans="1:15" ht="13" thickBot="1" x14ac:dyDescent="0.8">
      <c r="A103" s="52"/>
      <c r="B103" s="53" t="s">
        <v>23</v>
      </c>
      <c r="C103" s="64">
        <f>SUM(C99:C102)</f>
        <v>600</v>
      </c>
      <c r="D103" s="64">
        <f t="shared" ref="D103:O103" si="9">SUM(D99:D102)</f>
        <v>9.32</v>
      </c>
      <c r="E103" s="64">
        <f t="shared" si="9"/>
        <v>17.5</v>
      </c>
      <c r="F103" s="64">
        <f t="shared" si="9"/>
        <v>79.579999999999984</v>
      </c>
      <c r="G103" s="64">
        <f t="shared" si="9"/>
        <v>479.99999999999994</v>
      </c>
      <c r="H103" s="64">
        <f t="shared" si="9"/>
        <v>0.15000000000000002</v>
      </c>
      <c r="I103" s="64">
        <f t="shared" si="9"/>
        <v>35.200000000000003</v>
      </c>
      <c r="J103" s="64">
        <f t="shared" si="9"/>
        <v>0.04</v>
      </c>
      <c r="K103" s="64">
        <f t="shared" si="9"/>
        <v>149</v>
      </c>
      <c r="L103" s="64">
        <f t="shared" si="9"/>
        <v>69</v>
      </c>
      <c r="M103" s="64">
        <f t="shared" si="9"/>
        <v>6.77</v>
      </c>
      <c r="N103" s="64">
        <f t="shared" si="9"/>
        <v>3.7699999999999996</v>
      </c>
      <c r="O103" s="128">
        <f t="shared" si="9"/>
        <v>167.9</v>
      </c>
    </row>
    <row r="104" spans="1:15" ht="13" thickBot="1" x14ac:dyDescent="0.8">
      <c r="A104" s="117"/>
      <c r="B104" s="15" t="s">
        <v>51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1"/>
    </row>
    <row r="105" spans="1:15" ht="13" thickBot="1" x14ac:dyDescent="0.8">
      <c r="A105" s="93"/>
      <c r="B105" s="36" t="s">
        <v>37</v>
      </c>
      <c r="C105" s="94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/>
    </row>
    <row r="106" spans="1:15" x14ac:dyDescent="0.65">
      <c r="A106" s="28">
        <v>302</v>
      </c>
      <c r="B106" s="55" t="s">
        <v>127</v>
      </c>
      <c r="C106" s="30">
        <v>250</v>
      </c>
      <c r="D106" s="30">
        <f>2.8/100*205</f>
        <v>5.7399999999999993</v>
      </c>
      <c r="E106" s="30">
        <f>5.2/100*205</f>
        <v>10.66</v>
      </c>
      <c r="F106" s="30">
        <f>13.2/100*205</f>
        <v>27.060000000000002</v>
      </c>
      <c r="G106" s="30">
        <f>115/100*205</f>
        <v>235.74999999999997</v>
      </c>
      <c r="H106" s="30">
        <v>0.18</v>
      </c>
      <c r="I106" s="30">
        <v>1.42</v>
      </c>
      <c r="J106" s="30">
        <v>0.08</v>
      </c>
      <c r="K106" s="30">
        <v>174.6</v>
      </c>
      <c r="L106" s="30">
        <v>71</v>
      </c>
      <c r="M106" s="30">
        <v>1.7</v>
      </c>
      <c r="N106" s="30">
        <v>0.8</v>
      </c>
      <c r="O106" s="31">
        <v>261.60000000000002</v>
      </c>
    </row>
    <row r="107" spans="1:15" x14ac:dyDescent="0.65">
      <c r="A107" s="23"/>
      <c r="B107" s="24" t="s">
        <v>107</v>
      </c>
      <c r="C107" s="56">
        <v>40</v>
      </c>
      <c r="D107" s="56">
        <v>3.04</v>
      </c>
      <c r="E107" s="56">
        <v>0.48</v>
      </c>
      <c r="F107" s="56">
        <v>16.68</v>
      </c>
      <c r="G107" s="56">
        <v>85.2</v>
      </c>
      <c r="H107" s="56">
        <v>0.03</v>
      </c>
      <c r="I107" s="56">
        <v>0</v>
      </c>
      <c r="J107" s="56">
        <v>4.0000000000000001E-3</v>
      </c>
      <c r="K107" s="56">
        <v>11.6</v>
      </c>
      <c r="L107" s="56">
        <v>8</v>
      </c>
      <c r="M107" s="56">
        <v>0.84</v>
      </c>
      <c r="N107" s="56">
        <v>1.4</v>
      </c>
      <c r="O107" s="51">
        <v>36</v>
      </c>
    </row>
    <row r="108" spans="1:15" ht="13" thickBot="1" x14ac:dyDescent="0.8">
      <c r="A108" s="66">
        <v>705</v>
      </c>
      <c r="B108" s="67" t="s">
        <v>96</v>
      </c>
      <c r="C108" s="71">
        <v>250</v>
      </c>
      <c r="D108" s="71">
        <v>0.68</v>
      </c>
      <c r="E108" s="71">
        <v>0.28000000000000003</v>
      </c>
      <c r="F108" s="71">
        <v>20.76</v>
      </c>
      <c r="G108" s="71">
        <v>88.2</v>
      </c>
      <c r="H108" s="71">
        <v>0.01</v>
      </c>
      <c r="I108" s="71">
        <v>70</v>
      </c>
      <c r="J108" s="71">
        <v>0</v>
      </c>
      <c r="K108" s="71">
        <v>12</v>
      </c>
      <c r="L108" s="71">
        <v>3</v>
      </c>
      <c r="M108" s="71">
        <v>1.5</v>
      </c>
      <c r="N108" s="71">
        <v>0</v>
      </c>
      <c r="O108" s="72">
        <v>3</v>
      </c>
    </row>
    <row r="109" spans="1:15" ht="13" thickBot="1" x14ac:dyDescent="0.8">
      <c r="A109" s="35"/>
      <c r="B109" s="73" t="s">
        <v>23</v>
      </c>
      <c r="C109" s="74">
        <f>SUM(C106:C108)</f>
        <v>540</v>
      </c>
      <c r="D109" s="74">
        <f>D106+D108+D105</f>
        <v>6.419999999999999</v>
      </c>
      <c r="E109" s="74">
        <f t="shared" ref="E109:O109" si="10">E106+E108+E105</f>
        <v>10.94</v>
      </c>
      <c r="F109" s="74">
        <f t="shared" si="10"/>
        <v>47.820000000000007</v>
      </c>
      <c r="G109" s="74">
        <v>409.15</v>
      </c>
      <c r="H109" s="74">
        <f t="shared" si="10"/>
        <v>0.19</v>
      </c>
      <c r="I109" s="74">
        <f t="shared" si="10"/>
        <v>71.42</v>
      </c>
      <c r="J109" s="74">
        <f t="shared" si="10"/>
        <v>0.08</v>
      </c>
      <c r="K109" s="74">
        <f t="shared" si="10"/>
        <v>186.6</v>
      </c>
      <c r="L109" s="74">
        <f t="shared" si="10"/>
        <v>74</v>
      </c>
      <c r="M109" s="74">
        <f t="shared" si="10"/>
        <v>3.2</v>
      </c>
      <c r="N109" s="74">
        <f t="shared" si="10"/>
        <v>0.8</v>
      </c>
      <c r="O109" s="95">
        <f t="shared" si="10"/>
        <v>264.60000000000002</v>
      </c>
    </row>
    <row r="110" spans="1:15" x14ac:dyDescent="0.65">
      <c r="A110" s="14"/>
      <c r="B110" s="96" t="s">
        <v>38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7"/>
    </row>
    <row r="111" spans="1:15" x14ac:dyDescent="0.65">
      <c r="A111" s="23">
        <v>500</v>
      </c>
      <c r="B111" s="49" t="s">
        <v>89</v>
      </c>
      <c r="C111" s="56">
        <v>150</v>
      </c>
      <c r="D111" s="56">
        <v>8.6999999999999993</v>
      </c>
      <c r="E111" s="56">
        <v>7.8</v>
      </c>
      <c r="F111" s="56">
        <v>42.6</v>
      </c>
      <c r="G111" s="56">
        <v>279</v>
      </c>
      <c r="H111" s="30">
        <v>0.14000000000000001</v>
      </c>
      <c r="I111" s="30">
        <v>18.170000000000002</v>
      </c>
      <c r="J111" s="30">
        <v>25.5</v>
      </c>
      <c r="K111" s="30">
        <v>0</v>
      </c>
      <c r="L111" s="30">
        <v>27.75</v>
      </c>
      <c r="M111" s="30">
        <v>36.979999999999997</v>
      </c>
      <c r="N111" s="30">
        <v>86.6</v>
      </c>
      <c r="O111" s="31">
        <v>1.01</v>
      </c>
    </row>
    <row r="112" spans="1:15" x14ac:dyDescent="0.65">
      <c r="A112" s="28">
        <v>437</v>
      </c>
      <c r="B112" s="29" t="s">
        <v>90</v>
      </c>
      <c r="C112" s="30">
        <v>100</v>
      </c>
      <c r="D112" s="30">
        <v>13.9</v>
      </c>
      <c r="E112" s="30">
        <v>6.5</v>
      </c>
      <c r="F112" s="30">
        <v>4</v>
      </c>
      <c r="G112" s="30">
        <v>132</v>
      </c>
      <c r="H112" s="30">
        <v>0.08</v>
      </c>
      <c r="I112" s="30">
        <v>0.68</v>
      </c>
      <c r="J112" s="30">
        <v>0.03</v>
      </c>
      <c r="K112" s="30">
        <v>29.7</v>
      </c>
      <c r="L112" s="30">
        <v>14.8</v>
      </c>
      <c r="M112" s="30">
        <v>0.9</v>
      </c>
      <c r="N112" s="30">
        <v>0.32</v>
      </c>
      <c r="O112" s="31">
        <v>75.36</v>
      </c>
    </row>
    <row r="113" spans="1:17" x14ac:dyDescent="0.65">
      <c r="A113" s="42">
        <v>350</v>
      </c>
      <c r="B113" s="55" t="s">
        <v>122</v>
      </c>
      <c r="C113" s="21">
        <v>250</v>
      </c>
      <c r="D113" s="21">
        <v>4.4000000000000004</v>
      </c>
      <c r="E113" s="21">
        <v>0.12</v>
      </c>
      <c r="F113" s="21">
        <v>38.619999999999997</v>
      </c>
      <c r="G113" s="21">
        <v>157.6</v>
      </c>
      <c r="H113" s="21">
        <v>0.04</v>
      </c>
      <c r="I113" s="21">
        <v>1.3</v>
      </c>
      <c r="J113" s="21">
        <v>0.02</v>
      </c>
      <c r="K113" s="21">
        <v>126</v>
      </c>
      <c r="L113" s="21">
        <v>14</v>
      </c>
      <c r="M113" s="21">
        <v>0.1</v>
      </c>
      <c r="N113" s="21">
        <v>0</v>
      </c>
      <c r="O113" s="22">
        <v>90</v>
      </c>
      <c r="P113" s="57"/>
      <c r="Q113" s="54"/>
    </row>
    <row r="114" spans="1:17" ht="13" thickBot="1" x14ac:dyDescent="0.8">
      <c r="A114" s="23"/>
      <c r="B114" s="49" t="s">
        <v>119</v>
      </c>
      <c r="C114" s="56">
        <v>30</v>
      </c>
      <c r="D114" s="56">
        <v>3</v>
      </c>
      <c r="E114" s="56">
        <v>1</v>
      </c>
      <c r="F114" s="56">
        <v>2</v>
      </c>
      <c r="G114" s="56">
        <v>22</v>
      </c>
      <c r="H114" s="56">
        <v>0.06</v>
      </c>
      <c r="I114" s="56">
        <v>0</v>
      </c>
      <c r="J114" s="56">
        <v>0.01</v>
      </c>
      <c r="K114" s="56">
        <v>9</v>
      </c>
      <c r="L114" s="56">
        <v>7</v>
      </c>
      <c r="M114" s="56">
        <v>0.5</v>
      </c>
      <c r="N114" s="56">
        <v>0.9</v>
      </c>
      <c r="O114" s="51">
        <v>36</v>
      </c>
    </row>
    <row r="115" spans="1:17" ht="13" thickBot="1" x14ac:dyDescent="0.8">
      <c r="A115" s="52"/>
      <c r="B115" s="53" t="s">
        <v>23</v>
      </c>
      <c r="C115" s="64">
        <f>SUM(C111:C114)</f>
        <v>530</v>
      </c>
      <c r="D115" s="64">
        <f t="shared" ref="D115:O115" si="11">SUM(D111:D114)</f>
        <v>30</v>
      </c>
      <c r="E115" s="64">
        <f t="shared" si="11"/>
        <v>15.42</v>
      </c>
      <c r="F115" s="64">
        <f t="shared" si="11"/>
        <v>87.22</v>
      </c>
      <c r="G115" s="64">
        <f t="shared" si="11"/>
        <v>590.6</v>
      </c>
      <c r="H115" s="64">
        <f t="shared" si="11"/>
        <v>0.32</v>
      </c>
      <c r="I115" s="64">
        <f t="shared" si="11"/>
        <v>20.150000000000002</v>
      </c>
      <c r="J115" s="64">
        <f t="shared" si="11"/>
        <v>25.560000000000002</v>
      </c>
      <c r="K115" s="64">
        <f t="shared" si="11"/>
        <v>164.7</v>
      </c>
      <c r="L115" s="64">
        <f t="shared" si="11"/>
        <v>63.55</v>
      </c>
      <c r="M115" s="64">
        <f t="shared" si="11"/>
        <v>38.479999999999997</v>
      </c>
      <c r="N115" s="64">
        <f t="shared" si="11"/>
        <v>87.82</v>
      </c>
      <c r="O115" s="128">
        <f t="shared" si="11"/>
        <v>202.37</v>
      </c>
    </row>
    <row r="116" spans="1:17" ht="13" thickBot="1" x14ac:dyDescent="0.8">
      <c r="A116" s="18"/>
      <c r="B116" s="36" t="s">
        <v>39</v>
      </c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2"/>
    </row>
    <row r="117" spans="1:17" x14ac:dyDescent="0.65">
      <c r="A117" s="23">
        <v>65</v>
      </c>
      <c r="B117" s="24" t="s">
        <v>54</v>
      </c>
      <c r="C117" s="26">
        <v>100</v>
      </c>
      <c r="D117" s="44">
        <v>5.8</v>
      </c>
      <c r="E117" s="26">
        <v>16.600000000000001</v>
      </c>
      <c r="F117" s="44">
        <v>5.5</v>
      </c>
      <c r="G117" s="44">
        <v>195</v>
      </c>
      <c r="H117" s="44">
        <v>0.18</v>
      </c>
      <c r="I117" s="44">
        <v>12.1</v>
      </c>
      <c r="J117" s="44">
        <v>0.04</v>
      </c>
      <c r="K117" s="44">
        <v>43.2</v>
      </c>
      <c r="L117" s="44">
        <v>57</v>
      </c>
      <c r="M117" s="44">
        <v>1.5</v>
      </c>
      <c r="N117" s="44">
        <v>0.35</v>
      </c>
      <c r="O117" s="51">
        <v>185.2</v>
      </c>
    </row>
    <row r="118" spans="1:17" x14ac:dyDescent="0.65">
      <c r="A118" s="23"/>
      <c r="B118" s="49" t="s">
        <v>55</v>
      </c>
      <c r="C118" s="26"/>
      <c r="D118" s="44"/>
      <c r="E118" s="26"/>
      <c r="F118" s="44"/>
      <c r="G118" s="44"/>
      <c r="H118" s="56"/>
      <c r="I118" s="56"/>
      <c r="J118" s="56"/>
      <c r="K118" s="56"/>
      <c r="L118" s="56"/>
      <c r="M118" s="56"/>
      <c r="N118" s="56"/>
      <c r="O118" s="51"/>
    </row>
    <row r="119" spans="1:17" x14ac:dyDescent="0.65">
      <c r="A119" s="42">
        <v>139</v>
      </c>
      <c r="B119" s="55" t="s">
        <v>131</v>
      </c>
      <c r="C119" s="97">
        <v>250</v>
      </c>
      <c r="D119" s="98">
        <v>6.2</v>
      </c>
      <c r="E119" s="98">
        <v>5.6</v>
      </c>
      <c r="F119" s="98">
        <v>22.3</v>
      </c>
      <c r="G119" s="98">
        <v>167</v>
      </c>
      <c r="H119" s="98">
        <v>0.05</v>
      </c>
      <c r="I119" s="98">
        <v>9.9499999999999993</v>
      </c>
      <c r="J119" s="98">
        <v>0</v>
      </c>
      <c r="K119" s="98">
        <v>36.200000000000003</v>
      </c>
      <c r="L119" s="98">
        <v>19.5</v>
      </c>
      <c r="M119" s="98">
        <v>0.72</v>
      </c>
      <c r="N119" s="98">
        <v>2.4</v>
      </c>
      <c r="O119" s="48">
        <v>87</v>
      </c>
    </row>
    <row r="120" spans="1:17" x14ac:dyDescent="0.65">
      <c r="A120" s="28">
        <v>511</v>
      </c>
      <c r="B120" s="29" t="s">
        <v>30</v>
      </c>
      <c r="C120" s="30">
        <v>180</v>
      </c>
      <c r="D120" s="30">
        <v>3.7</v>
      </c>
      <c r="E120" s="30">
        <v>6.1</v>
      </c>
      <c r="F120" s="30">
        <v>38.5</v>
      </c>
      <c r="G120" s="30">
        <v>228</v>
      </c>
      <c r="H120" s="46">
        <v>0.18</v>
      </c>
      <c r="I120" s="46">
        <v>0</v>
      </c>
      <c r="J120" s="46">
        <v>0.02</v>
      </c>
      <c r="K120" s="46">
        <v>0</v>
      </c>
      <c r="L120" s="46">
        <v>67.5</v>
      </c>
      <c r="M120" s="46">
        <v>12.98</v>
      </c>
      <c r="N120" s="46">
        <v>208.5</v>
      </c>
      <c r="O120" s="85">
        <v>3.95</v>
      </c>
    </row>
    <row r="121" spans="1:17" x14ac:dyDescent="0.65">
      <c r="A121" s="42">
        <v>388</v>
      </c>
      <c r="B121" s="55" t="s">
        <v>25</v>
      </c>
      <c r="C121" s="30">
        <v>100</v>
      </c>
      <c r="D121" s="30">
        <v>3.58</v>
      </c>
      <c r="E121" s="30">
        <v>2.42</v>
      </c>
      <c r="F121" s="30">
        <v>4.18</v>
      </c>
      <c r="G121" s="30">
        <v>53.9</v>
      </c>
      <c r="H121" s="30">
        <v>0.08</v>
      </c>
      <c r="I121" s="30">
        <v>0.68</v>
      </c>
      <c r="J121" s="30">
        <v>0.03</v>
      </c>
      <c r="K121" s="30">
        <v>29.7</v>
      </c>
      <c r="L121" s="30">
        <v>14.8</v>
      </c>
      <c r="M121" s="30">
        <v>0.9</v>
      </c>
      <c r="N121" s="30">
        <v>0.32</v>
      </c>
      <c r="O121" s="31">
        <v>75.36</v>
      </c>
    </row>
    <row r="122" spans="1:17" x14ac:dyDescent="0.65">
      <c r="A122" s="28">
        <v>639</v>
      </c>
      <c r="B122" s="29" t="s">
        <v>78</v>
      </c>
      <c r="C122" s="30">
        <v>200</v>
      </c>
      <c r="D122" s="30">
        <f>0.3*2</f>
        <v>0.6</v>
      </c>
      <c r="E122" s="30">
        <v>0</v>
      </c>
      <c r="F122" s="30">
        <v>43.8</v>
      </c>
      <c r="G122" s="30">
        <v>176</v>
      </c>
      <c r="H122" s="30">
        <v>0</v>
      </c>
      <c r="I122" s="30">
        <v>0.8</v>
      </c>
      <c r="J122" s="30">
        <v>0</v>
      </c>
      <c r="K122" s="30">
        <v>10</v>
      </c>
      <c r="L122" s="30">
        <v>3</v>
      </c>
      <c r="M122" s="30">
        <v>0.6</v>
      </c>
      <c r="N122" s="30">
        <v>0</v>
      </c>
      <c r="O122" s="31">
        <v>6</v>
      </c>
    </row>
    <row r="123" spans="1:17" ht="13" thickBot="1" x14ac:dyDescent="0.8">
      <c r="A123" s="23"/>
      <c r="B123" s="49" t="s">
        <v>27</v>
      </c>
      <c r="C123" s="56">
        <v>60</v>
      </c>
      <c r="D123" s="56">
        <v>6</v>
      </c>
      <c r="E123" s="56">
        <v>2</v>
      </c>
      <c r="F123" s="56">
        <v>4</v>
      </c>
      <c r="G123" s="56">
        <v>44</v>
      </c>
      <c r="H123" s="56">
        <v>0.05</v>
      </c>
      <c r="I123" s="56">
        <v>0</v>
      </c>
      <c r="J123" s="56">
        <v>0</v>
      </c>
      <c r="K123" s="56">
        <v>10.5</v>
      </c>
      <c r="L123" s="56">
        <v>14</v>
      </c>
      <c r="M123" s="56">
        <v>1.17</v>
      </c>
      <c r="N123" s="56">
        <v>0.42</v>
      </c>
      <c r="O123" s="51">
        <v>47.4</v>
      </c>
    </row>
    <row r="124" spans="1:17" ht="13" thickBot="1" x14ac:dyDescent="0.8">
      <c r="A124" s="86"/>
      <c r="B124" s="99" t="s">
        <v>23</v>
      </c>
      <c r="C124" s="100">
        <f>SUM(C117:C123)</f>
        <v>890</v>
      </c>
      <c r="D124" s="100">
        <f t="shared" ref="D124:O124" si="12">SUM(D117:D123)</f>
        <v>25.880000000000003</v>
      </c>
      <c r="E124" s="100">
        <f t="shared" si="12"/>
        <v>32.720000000000006</v>
      </c>
      <c r="F124" s="100">
        <f t="shared" si="12"/>
        <v>118.27999999999999</v>
      </c>
      <c r="G124" s="100">
        <f t="shared" si="12"/>
        <v>863.9</v>
      </c>
      <c r="H124" s="100">
        <f t="shared" si="12"/>
        <v>0.54</v>
      </c>
      <c r="I124" s="100">
        <f t="shared" si="12"/>
        <v>23.529999999999998</v>
      </c>
      <c r="J124" s="100">
        <f t="shared" si="12"/>
        <v>0.09</v>
      </c>
      <c r="K124" s="100">
        <f t="shared" si="12"/>
        <v>129.60000000000002</v>
      </c>
      <c r="L124" s="100">
        <f t="shared" si="12"/>
        <v>175.8</v>
      </c>
      <c r="M124" s="100">
        <f t="shared" si="12"/>
        <v>17.869999999999997</v>
      </c>
      <c r="N124" s="100">
        <f t="shared" si="12"/>
        <v>211.98999999999998</v>
      </c>
      <c r="O124" s="135">
        <f t="shared" si="12"/>
        <v>404.90999999999997</v>
      </c>
    </row>
    <row r="125" spans="1:17" s="1" customFormat="1" ht="13" thickBot="1" x14ac:dyDescent="0.8">
      <c r="A125" s="18"/>
      <c r="B125" s="36" t="s">
        <v>40</v>
      </c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2"/>
    </row>
    <row r="126" spans="1:17" x14ac:dyDescent="0.65">
      <c r="A126" s="23"/>
      <c r="B126" s="24" t="s">
        <v>55</v>
      </c>
      <c r="C126" s="26"/>
      <c r="D126" s="44"/>
      <c r="E126" s="26"/>
      <c r="F126" s="44"/>
      <c r="G126" s="44"/>
      <c r="H126" s="56"/>
      <c r="I126" s="56"/>
      <c r="J126" s="56"/>
      <c r="K126" s="56"/>
      <c r="L126" s="56"/>
      <c r="M126" s="56"/>
      <c r="N126" s="56"/>
      <c r="O126" s="51"/>
    </row>
    <row r="127" spans="1:17" x14ac:dyDescent="0.65">
      <c r="A127" s="42">
        <v>140</v>
      </c>
      <c r="B127" s="55" t="s">
        <v>131</v>
      </c>
      <c r="C127" s="97">
        <v>200</v>
      </c>
      <c r="D127" s="98">
        <v>6.2</v>
      </c>
      <c r="E127" s="98">
        <v>5.6</v>
      </c>
      <c r="F127" s="98">
        <v>22.3</v>
      </c>
      <c r="G127" s="98">
        <v>167</v>
      </c>
      <c r="H127" s="98">
        <v>0.05</v>
      </c>
      <c r="I127" s="98">
        <v>9.9499999999999993</v>
      </c>
      <c r="J127" s="98">
        <v>0</v>
      </c>
      <c r="K127" s="98">
        <v>36.200000000000003</v>
      </c>
      <c r="L127" s="98">
        <v>19.5</v>
      </c>
      <c r="M127" s="98">
        <v>0.72</v>
      </c>
      <c r="N127" s="98">
        <v>2.4</v>
      </c>
      <c r="O127" s="48">
        <v>87</v>
      </c>
    </row>
    <row r="128" spans="1:17" x14ac:dyDescent="0.65">
      <c r="A128" s="28">
        <v>65</v>
      </c>
      <c r="B128" s="29" t="s">
        <v>54</v>
      </c>
      <c r="C128" s="26">
        <v>100</v>
      </c>
      <c r="D128" s="44">
        <v>9.9</v>
      </c>
      <c r="E128" s="26">
        <v>4.8</v>
      </c>
      <c r="F128" s="44">
        <v>10.67</v>
      </c>
      <c r="G128" s="44">
        <v>144.9</v>
      </c>
      <c r="H128" s="44">
        <v>0.18</v>
      </c>
      <c r="I128" s="44">
        <v>12.1</v>
      </c>
      <c r="J128" s="44">
        <v>0.04</v>
      </c>
      <c r="K128" s="44">
        <v>43.2</v>
      </c>
      <c r="L128" s="44">
        <v>57</v>
      </c>
      <c r="M128" s="44">
        <v>1.5</v>
      </c>
      <c r="N128" s="44">
        <v>0.35</v>
      </c>
      <c r="O128" s="51">
        <v>185.2</v>
      </c>
    </row>
    <row r="129" spans="1:15" x14ac:dyDescent="0.65">
      <c r="A129" s="42">
        <v>337</v>
      </c>
      <c r="B129" s="55" t="s">
        <v>56</v>
      </c>
      <c r="C129" s="21">
        <v>40</v>
      </c>
      <c r="D129" s="21">
        <v>5.0999999999999996</v>
      </c>
      <c r="E129" s="21">
        <v>4.5999999999999996</v>
      </c>
      <c r="F129" s="21">
        <v>0.3</v>
      </c>
      <c r="G129" s="21">
        <v>63</v>
      </c>
      <c r="H129" s="21">
        <v>0.03</v>
      </c>
      <c r="I129" s="21">
        <v>0</v>
      </c>
      <c r="J129" s="21">
        <v>0.1</v>
      </c>
      <c r="K129" s="21">
        <v>22</v>
      </c>
      <c r="L129" s="21">
        <v>5</v>
      </c>
      <c r="M129" s="21">
        <v>1</v>
      </c>
      <c r="N129" s="21">
        <v>0.2</v>
      </c>
      <c r="O129" s="22">
        <v>77</v>
      </c>
    </row>
    <row r="130" spans="1:15" x14ac:dyDescent="0.65">
      <c r="A130" s="28">
        <v>639</v>
      </c>
      <c r="B130" s="29" t="s">
        <v>78</v>
      </c>
      <c r="C130" s="30">
        <v>200</v>
      </c>
      <c r="D130" s="30">
        <v>0.6</v>
      </c>
      <c r="E130" s="30">
        <v>0</v>
      </c>
      <c r="F130" s="30">
        <v>31.4</v>
      </c>
      <c r="G130" s="30">
        <v>124</v>
      </c>
      <c r="H130" s="30">
        <v>0</v>
      </c>
      <c r="I130" s="30">
        <v>0.8</v>
      </c>
      <c r="J130" s="30">
        <v>0</v>
      </c>
      <c r="K130" s="30">
        <v>10</v>
      </c>
      <c r="L130" s="30">
        <v>3</v>
      </c>
      <c r="M130" s="30">
        <v>0.6</v>
      </c>
      <c r="N130" s="30">
        <v>0</v>
      </c>
      <c r="O130" s="31">
        <v>6</v>
      </c>
    </row>
    <row r="131" spans="1:15" x14ac:dyDescent="0.65">
      <c r="A131" s="23"/>
      <c r="B131" s="49" t="s">
        <v>27</v>
      </c>
      <c r="C131" s="56">
        <v>40</v>
      </c>
      <c r="D131" s="56">
        <v>3.04</v>
      </c>
      <c r="E131" s="56">
        <v>0.48</v>
      </c>
      <c r="F131" s="56">
        <v>16.68</v>
      </c>
      <c r="G131" s="56">
        <v>85.2</v>
      </c>
      <c r="H131" s="56">
        <v>0.05</v>
      </c>
      <c r="I131" s="56">
        <v>0</v>
      </c>
      <c r="J131" s="56">
        <v>0</v>
      </c>
      <c r="K131" s="56">
        <v>10.5</v>
      </c>
      <c r="L131" s="56">
        <v>14</v>
      </c>
      <c r="M131" s="56">
        <v>1.17</v>
      </c>
      <c r="N131" s="56">
        <v>0.42</v>
      </c>
      <c r="O131" s="51">
        <v>47.4</v>
      </c>
    </row>
    <row r="132" spans="1:15" ht="13" thickBot="1" x14ac:dyDescent="0.8">
      <c r="A132" s="23"/>
      <c r="B132" s="49" t="s">
        <v>57</v>
      </c>
      <c r="C132" s="26">
        <v>50</v>
      </c>
      <c r="D132" s="44">
        <v>4.8</v>
      </c>
      <c r="E132" s="26">
        <v>2</v>
      </c>
      <c r="F132" s="44">
        <v>23.5</v>
      </c>
      <c r="G132" s="44">
        <v>171</v>
      </c>
      <c r="H132" s="56">
        <v>0.06</v>
      </c>
      <c r="I132" s="56">
        <v>0</v>
      </c>
      <c r="J132" s="56">
        <v>0.01</v>
      </c>
      <c r="K132" s="56">
        <v>9</v>
      </c>
      <c r="L132" s="56">
        <v>7</v>
      </c>
      <c r="M132" s="56">
        <v>0.5</v>
      </c>
      <c r="N132" s="56">
        <v>0.9</v>
      </c>
      <c r="O132" s="51">
        <v>36</v>
      </c>
    </row>
    <row r="133" spans="1:15" ht="13" thickBot="1" x14ac:dyDescent="0.8">
      <c r="A133" s="86"/>
      <c r="B133" s="99" t="s">
        <v>23</v>
      </c>
      <c r="C133" s="100">
        <f>SUM(C126:C132)</f>
        <v>630</v>
      </c>
      <c r="D133" s="100">
        <f t="shared" ref="D133:O133" si="13">SUM(D126:D132)</f>
        <v>29.640000000000004</v>
      </c>
      <c r="E133" s="100">
        <f t="shared" si="13"/>
        <v>17.479999999999997</v>
      </c>
      <c r="F133" s="100">
        <f t="shared" si="13"/>
        <v>104.85</v>
      </c>
      <c r="G133" s="100">
        <f t="shared" si="13"/>
        <v>755.1</v>
      </c>
      <c r="H133" s="100">
        <f t="shared" si="13"/>
        <v>0.37</v>
      </c>
      <c r="I133" s="100">
        <f t="shared" si="13"/>
        <v>22.849999999999998</v>
      </c>
      <c r="J133" s="100">
        <f t="shared" si="13"/>
        <v>0.15000000000000002</v>
      </c>
      <c r="K133" s="100">
        <f t="shared" si="13"/>
        <v>130.9</v>
      </c>
      <c r="L133" s="100">
        <f t="shared" si="13"/>
        <v>105.5</v>
      </c>
      <c r="M133" s="100">
        <f t="shared" si="13"/>
        <v>5.49</v>
      </c>
      <c r="N133" s="100">
        <f t="shared" si="13"/>
        <v>4.2700000000000005</v>
      </c>
      <c r="O133" s="135">
        <f t="shared" si="13"/>
        <v>438.59999999999997</v>
      </c>
    </row>
    <row r="134" spans="1:15" ht="13" thickBot="1" x14ac:dyDescent="0.8">
      <c r="A134" s="101"/>
      <c r="B134" s="36" t="s">
        <v>43</v>
      </c>
      <c r="C134" s="102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48"/>
    </row>
    <row r="135" spans="1:15" x14ac:dyDescent="0.65">
      <c r="A135" s="103">
        <v>214</v>
      </c>
      <c r="B135" s="24" t="s">
        <v>32</v>
      </c>
      <c r="C135" s="56">
        <v>180</v>
      </c>
      <c r="D135" s="56">
        <f>5.55/150*180</f>
        <v>6.6599999999999993</v>
      </c>
      <c r="E135" s="56">
        <f>5.4/150*180</f>
        <v>6.48</v>
      </c>
      <c r="F135" s="56">
        <f>5.85/150*180</f>
        <v>7.02</v>
      </c>
      <c r="G135" s="56">
        <f>94.5/150*180</f>
        <v>113.4</v>
      </c>
      <c r="H135" s="56">
        <v>0.06</v>
      </c>
      <c r="I135" s="56">
        <v>25.5</v>
      </c>
      <c r="J135" s="56">
        <v>0.04</v>
      </c>
      <c r="K135" s="56">
        <v>91.5</v>
      </c>
      <c r="L135" s="56">
        <v>36</v>
      </c>
      <c r="M135" s="56">
        <v>1.5</v>
      </c>
      <c r="N135" s="56">
        <v>1.05</v>
      </c>
      <c r="O135" s="51">
        <v>82.5</v>
      </c>
    </row>
    <row r="136" spans="1:15" x14ac:dyDescent="0.65">
      <c r="A136" s="28">
        <v>494</v>
      </c>
      <c r="B136" s="29" t="s">
        <v>114</v>
      </c>
      <c r="C136" s="30">
        <v>100</v>
      </c>
      <c r="D136" s="30">
        <v>16.48</v>
      </c>
      <c r="E136" s="30">
        <v>11.36</v>
      </c>
      <c r="F136" s="30">
        <v>0.4</v>
      </c>
      <c r="G136" s="30">
        <v>170</v>
      </c>
      <c r="H136" s="30">
        <v>0.04</v>
      </c>
      <c r="I136" s="30">
        <v>3.7</v>
      </c>
      <c r="J136" s="30">
        <v>0.02</v>
      </c>
      <c r="K136" s="30">
        <v>28.5</v>
      </c>
      <c r="L136" s="30">
        <v>18.2</v>
      </c>
      <c r="M136" s="30">
        <v>1.2</v>
      </c>
      <c r="N136" s="30">
        <v>0.45</v>
      </c>
      <c r="O136" s="31">
        <v>126.8</v>
      </c>
    </row>
    <row r="137" spans="1:15" x14ac:dyDescent="0.65">
      <c r="A137" s="28">
        <v>685</v>
      </c>
      <c r="B137" s="29" t="s">
        <v>24</v>
      </c>
      <c r="C137" s="30">
        <v>250</v>
      </c>
      <c r="D137" s="30">
        <v>0.2</v>
      </c>
      <c r="E137" s="30">
        <v>0</v>
      </c>
      <c r="F137" s="30">
        <v>0</v>
      </c>
      <c r="G137" s="30">
        <v>4.5999999999999996</v>
      </c>
      <c r="H137" s="30">
        <v>0.04</v>
      </c>
      <c r="I137" s="30">
        <v>1.3</v>
      </c>
      <c r="J137" s="30">
        <v>0.01</v>
      </c>
      <c r="K137" s="30">
        <v>127</v>
      </c>
      <c r="L137" s="30">
        <v>15</v>
      </c>
      <c r="M137" s="30">
        <v>0.4</v>
      </c>
      <c r="N137" s="30">
        <v>0</v>
      </c>
      <c r="O137" s="31">
        <v>93</v>
      </c>
    </row>
    <row r="138" spans="1:15" ht="13" thickBot="1" x14ac:dyDescent="0.8">
      <c r="A138" s="80"/>
      <c r="B138" s="24" t="s">
        <v>27</v>
      </c>
      <c r="C138" s="56">
        <v>40</v>
      </c>
      <c r="D138" s="56">
        <v>3.04</v>
      </c>
      <c r="E138" s="56">
        <v>0.48</v>
      </c>
      <c r="F138" s="56">
        <v>16.68</v>
      </c>
      <c r="G138" s="56">
        <v>85.2</v>
      </c>
      <c r="H138" s="56">
        <v>0.05</v>
      </c>
      <c r="I138" s="56">
        <v>0</v>
      </c>
      <c r="J138" s="56">
        <v>0</v>
      </c>
      <c r="K138" s="56">
        <v>10.5</v>
      </c>
      <c r="L138" s="56">
        <v>14</v>
      </c>
      <c r="M138" s="56">
        <v>1.17</v>
      </c>
      <c r="N138" s="56">
        <v>0.42</v>
      </c>
      <c r="O138" s="51">
        <v>47.4</v>
      </c>
    </row>
    <row r="139" spans="1:15" ht="13" thickBot="1" x14ac:dyDescent="0.8">
      <c r="A139" s="52"/>
      <c r="B139" s="53" t="s">
        <v>23</v>
      </c>
      <c r="C139" s="64">
        <f>SUM(C135:C138)</f>
        <v>570</v>
      </c>
      <c r="D139" s="64">
        <f t="shared" ref="D139:O139" si="14">SUM(D135:D138)</f>
        <v>26.38</v>
      </c>
      <c r="E139" s="64">
        <f t="shared" si="14"/>
        <v>18.32</v>
      </c>
      <c r="F139" s="64">
        <f t="shared" si="14"/>
        <v>24.1</v>
      </c>
      <c r="G139" s="64">
        <f t="shared" si="14"/>
        <v>373.2</v>
      </c>
      <c r="H139" s="64">
        <f t="shared" si="14"/>
        <v>0.19</v>
      </c>
      <c r="I139" s="64">
        <f t="shared" si="14"/>
        <v>30.5</v>
      </c>
      <c r="J139" s="64">
        <f t="shared" si="14"/>
        <v>6.9999999999999993E-2</v>
      </c>
      <c r="K139" s="64">
        <f t="shared" si="14"/>
        <v>257.5</v>
      </c>
      <c r="L139" s="64">
        <f t="shared" si="14"/>
        <v>83.2</v>
      </c>
      <c r="M139" s="64">
        <f t="shared" si="14"/>
        <v>4.2699999999999996</v>
      </c>
      <c r="N139" s="64">
        <f t="shared" si="14"/>
        <v>1.92</v>
      </c>
      <c r="O139" s="128">
        <f t="shared" si="14"/>
        <v>349.7</v>
      </c>
    </row>
    <row r="140" spans="1:15" ht="13" thickBot="1" x14ac:dyDescent="0.8">
      <c r="A140" s="117"/>
      <c r="B140" s="15" t="s">
        <v>58</v>
      </c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1"/>
    </row>
    <row r="141" spans="1:15" ht="13" thickBot="1" x14ac:dyDescent="0.8">
      <c r="A141" s="80"/>
      <c r="B141" s="36" t="s">
        <v>37</v>
      </c>
      <c r="C141" s="60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84"/>
    </row>
    <row r="142" spans="1:15" x14ac:dyDescent="0.65">
      <c r="A142" s="80"/>
      <c r="B142" s="138" t="s">
        <v>107</v>
      </c>
      <c r="C142" s="60">
        <v>40</v>
      </c>
      <c r="D142" s="59">
        <v>3.04</v>
      </c>
      <c r="E142" s="59">
        <v>0.48</v>
      </c>
      <c r="F142" s="59">
        <v>16.68</v>
      </c>
      <c r="G142" s="59">
        <v>85.2</v>
      </c>
      <c r="H142" s="59">
        <v>0.03</v>
      </c>
      <c r="I142" s="59">
        <v>0</v>
      </c>
      <c r="J142" s="59">
        <v>4.0000000000000001E-3</v>
      </c>
      <c r="K142" s="59">
        <v>11.6</v>
      </c>
      <c r="L142" s="59">
        <v>8</v>
      </c>
      <c r="M142" s="59">
        <v>0.84</v>
      </c>
      <c r="N142" s="59">
        <v>1.4</v>
      </c>
      <c r="O142" s="84">
        <v>36</v>
      </c>
    </row>
    <row r="143" spans="1:15" s="1" customFormat="1" x14ac:dyDescent="0.65">
      <c r="A143" s="61">
        <v>302</v>
      </c>
      <c r="B143" s="55" t="s">
        <v>99</v>
      </c>
      <c r="C143" s="30">
        <v>250</v>
      </c>
      <c r="D143" s="46">
        <f>1.5/100*205</f>
        <v>3.0749999999999997</v>
      </c>
      <c r="E143" s="46">
        <f>4/100*205</f>
        <v>8.1999999999999993</v>
      </c>
      <c r="F143" s="46">
        <f>15.8/100*205</f>
        <v>32.39</v>
      </c>
      <c r="G143" s="46">
        <f>109/100*205</f>
        <v>223.45000000000002</v>
      </c>
      <c r="H143" s="46">
        <v>0.03</v>
      </c>
      <c r="I143" s="46">
        <v>0</v>
      </c>
      <c r="J143" s="46">
        <v>20</v>
      </c>
      <c r="K143" s="46">
        <v>0</v>
      </c>
      <c r="L143" s="46">
        <v>21.8</v>
      </c>
      <c r="M143" s="46">
        <v>5.9</v>
      </c>
      <c r="N143" s="46">
        <v>67</v>
      </c>
      <c r="O143" s="85">
        <v>0.47</v>
      </c>
    </row>
    <row r="144" spans="1:15" ht="13" thickBot="1" x14ac:dyDescent="0.8">
      <c r="A144" s="104">
        <v>693</v>
      </c>
      <c r="B144" s="105" t="s">
        <v>115</v>
      </c>
      <c r="C144" s="106">
        <v>250</v>
      </c>
      <c r="D144" s="106">
        <v>4.9000000000000004</v>
      </c>
      <c r="E144" s="106">
        <v>5</v>
      </c>
      <c r="F144" s="106">
        <v>32.5</v>
      </c>
      <c r="G144" s="106">
        <v>190</v>
      </c>
      <c r="H144" s="106">
        <v>0.02</v>
      </c>
      <c r="I144" s="106">
        <v>4</v>
      </c>
      <c r="J144" s="106">
        <v>0</v>
      </c>
      <c r="K144" s="106">
        <v>20</v>
      </c>
      <c r="L144" s="106">
        <v>0</v>
      </c>
      <c r="M144" s="106">
        <v>0.2</v>
      </c>
      <c r="N144" s="106">
        <v>0</v>
      </c>
      <c r="O144" s="107">
        <v>0</v>
      </c>
    </row>
    <row r="145" spans="1:15" ht="13" thickBot="1" x14ac:dyDescent="0.8">
      <c r="A145" s="52"/>
      <c r="B145" s="53" t="s">
        <v>23</v>
      </c>
      <c r="C145" s="108">
        <f>SUM(C143:C144)</f>
        <v>500</v>
      </c>
      <c r="D145" s="108">
        <f t="shared" ref="D145:O145" si="15">SUM(D143:D144)</f>
        <v>7.9749999999999996</v>
      </c>
      <c r="E145" s="108">
        <f t="shared" si="15"/>
        <v>13.2</v>
      </c>
      <c r="F145" s="108">
        <f t="shared" si="15"/>
        <v>64.89</v>
      </c>
      <c r="G145" s="108">
        <f t="shared" si="15"/>
        <v>413.45000000000005</v>
      </c>
      <c r="H145" s="108">
        <f t="shared" si="15"/>
        <v>0.05</v>
      </c>
      <c r="I145" s="108">
        <f t="shared" si="15"/>
        <v>4</v>
      </c>
      <c r="J145" s="108">
        <f t="shared" si="15"/>
        <v>20</v>
      </c>
      <c r="K145" s="108">
        <f t="shared" si="15"/>
        <v>20</v>
      </c>
      <c r="L145" s="108">
        <f t="shared" si="15"/>
        <v>21.8</v>
      </c>
      <c r="M145" s="108">
        <f t="shared" si="15"/>
        <v>6.1000000000000005</v>
      </c>
      <c r="N145" s="108">
        <f t="shared" si="15"/>
        <v>67</v>
      </c>
      <c r="O145" s="136">
        <f t="shared" si="15"/>
        <v>0.47</v>
      </c>
    </row>
    <row r="146" spans="1:15" ht="13" thickBot="1" x14ac:dyDescent="0.8">
      <c r="A146" s="80"/>
      <c r="B146" s="36" t="s">
        <v>38</v>
      </c>
      <c r="C146" s="109"/>
      <c r="D146" s="98"/>
      <c r="E146" s="97"/>
      <c r="F146" s="98"/>
      <c r="G146" s="98"/>
      <c r="H146" s="98"/>
      <c r="I146" s="98"/>
      <c r="J146" s="98"/>
      <c r="K146" s="98"/>
      <c r="L146" s="98"/>
      <c r="M146" s="98"/>
      <c r="N146" s="98"/>
      <c r="O146" s="48"/>
    </row>
    <row r="147" spans="1:15" x14ac:dyDescent="0.65">
      <c r="A147" s="28">
        <v>332</v>
      </c>
      <c r="B147" s="55" t="s">
        <v>97</v>
      </c>
      <c r="C147" s="30">
        <v>150</v>
      </c>
      <c r="D147" s="30">
        <v>5.25</v>
      </c>
      <c r="E147" s="30">
        <v>6.15</v>
      </c>
      <c r="F147" s="30">
        <v>35.200000000000003</v>
      </c>
      <c r="G147" s="30">
        <v>220</v>
      </c>
      <c r="H147" s="30">
        <v>0.06</v>
      </c>
      <c r="I147" s="30">
        <v>0</v>
      </c>
      <c r="J147" s="30">
        <v>21</v>
      </c>
      <c r="K147" s="30">
        <v>4.8600000000000003</v>
      </c>
      <c r="L147" s="30">
        <v>21.12</v>
      </c>
      <c r="M147" s="30">
        <v>1.1100000000000001</v>
      </c>
      <c r="N147" s="30">
        <v>0</v>
      </c>
      <c r="O147" s="31">
        <v>37.17</v>
      </c>
    </row>
    <row r="148" spans="1:15" x14ac:dyDescent="0.65">
      <c r="A148" s="28">
        <v>388</v>
      </c>
      <c r="B148" s="29" t="s">
        <v>118</v>
      </c>
      <c r="C148" s="30">
        <v>90</v>
      </c>
      <c r="D148" s="30">
        <v>16.899999999999999</v>
      </c>
      <c r="E148" s="30">
        <v>3.2</v>
      </c>
      <c r="F148" s="30">
        <v>11.2</v>
      </c>
      <c r="G148" s="30">
        <v>142</v>
      </c>
      <c r="H148" s="30">
        <v>0.17</v>
      </c>
      <c r="I148" s="30">
        <v>1.28</v>
      </c>
      <c r="J148" s="30">
        <v>0</v>
      </c>
      <c r="K148" s="30">
        <v>0</v>
      </c>
      <c r="L148" s="30">
        <v>26.01</v>
      </c>
      <c r="M148" s="30">
        <v>24.36</v>
      </c>
      <c r="N148" s="30">
        <v>194.6</v>
      </c>
      <c r="O148" s="31">
        <v>2.3199999999999998</v>
      </c>
    </row>
    <row r="149" spans="1:15" x14ac:dyDescent="0.65">
      <c r="A149" s="28">
        <v>705</v>
      </c>
      <c r="B149" s="29" t="s">
        <v>91</v>
      </c>
      <c r="C149" s="30">
        <v>250</v>
      </c>
      <c r="D149" s="30">
        <v>6.8</v>
      </c>
      <c r="E149" s="30">
        <v>2.8</v>
      </c>
      <c r="F149" s="30">
        <v>20.8</v>
      </c>
      <c r="G149" s="30">
        <v>88.2</v>
      </c>
      <c r="H149" s="30">
        <v>0.01</v>
      </c>
      <c r="I149" s="30">
        <v>70</v>
      </c>
      <c r="J149" s="30">
        <v>0</v>
      </c>
      <c r="K149" s="30">
        <v>12</v>
      </c>
      <c r="L149" s="30">
        <v>3</v>
      </c>
      <c r="M149" s="30">
        <v>1.5</v>
      </c>
      <c r="N149" s="30">
        <v>0</v>
      </c>
      <c r="O149" s="31">
        <v>3</v>
      </c>
    </row>
    <row r="150" spans="1:15" ht="13" thickBot="1" x14ac:dyDescent="0.8">
      <c r="A150" s="23"/>
      <c r="B150" s="49" t="s">
        <v>27</v>
      </c>
      <c r="C150" s="110">
        <v>30</v>
      </c>
      <c r="D150" s="56">
        <v>3</v>
      </c>
      <c r="E150" s="56">
        <v>1</v>
      </c>
      <c r="F150" s="56">
        <v>2</v>
      </c>
      <c r="G150" s="56">
        <v>22</v>
      </c>
      <c r="H150" s="56">
        <v>0.2</v>
      </c>
      <c r="I150" s="56">
        <v>0</v>
      </c>
      <c r="J150" s="56">
        <v>0.01</v>
      </c>
      <c r="K150" s="56">
        <v>5.99</v>
      </c>
      <c r="L150" s="56">
        <v>50</v>
      </c>
      <c r="M150" s="56">
        <v>250</v>
      </c>
      <c r="N150" s="56">
        <v>250</v>
      </c>
      <c r="O150" s="51">
        <v>2</v>
      </c>
    </row>
    <row r="151" spans="1:15" ht="13" thickBot="1" x14ac:dyDescent="0.8">
      <c r="A151" s="52"/>
      <c r="B151" s="53" t="s">
        <v>23</v>
      </c>
      <c r="C151" s="33">
        <f>SUM(C147:C150)</f>
        <v>520</v>
      </c>
      <c r="D151" s="33">
        <f t="shared" ref="D151:O151" si="16">SUM(D147:D150)</f>
        <v>31.95</v>
      </c>
      <c r="E151" s="33">
        <f t="shared" si="16"/>
        <v>13.150000000000002</v>
      </c>
      <c r="F151" s="33">
        <f t="shared" si="16"/>
        <v>69.2</v>
      </c>
      <c r="G151" s="33">
        <f t="shared" si="16"/>
        <v>472.2</v>
      </c>
      <c r="H151" s="33">
        <f t="shared" si="16"/>
        <v>0.44000000000000006</v>
      </c>
      <c r="I151" s="33">
        <f t="shared" si="16"/>
        <v>71.28</v>
      </c>
      <c r="J151" s="33">
        <f t="shared" si="16"/>
        <v>21.01</v>
      </c>
      <c r="K151" s="33">
        <f t="shared" si="16"/>
        <v>22.85</v>
      </c>
      <c r="L151" s="33">
        <f t="shared" si="16"/>
        <v>100.13</v>
      </c>
      <c r="M151" s="33">
        <f t="shared" si="16"/>
        <v>276.97000000000003</v>
      </c>
      <c r="N151" s="33">
        <f t="shared" si="16"/>
        <v>444.6</v>
      </c>
      <c r="O151" s="34">
        <f t="shared" si="16"/>
        <v>44.49</v>
      </c>
    </row>
    <row r="152" spans="1:15" ht="13" thickBot="1" x14ac:dyDescent="0.8">
      <c r="A152" s="111"/>
      <c r="B152" s="36" t="s">
        <v>39</v>
      </c>
      <c r="C152" s="112"/>
      <c r="D152" s="113"/>
      <c r="E152" s="114"/>
      <c r="F152" s="113"/>
      <c r="G152" s="113"/>
      <c r="H152" s="16"/>
      <c r="I152" s="16"/>
      <c r="J152" s="16"/>
      <c r="K152" s="16"/>
      <c r="L152" s="16"/>
      <c r="M152" s="16"/>
      <c r="N152" s="16"/>
      <c r="O152" s="17"/>
    </row>
    <row r="153" spans="1:15" s="1" customFormat="1" x14ac:dyDescent="0.65">
      <c r="A153" s="115">
        <v>71</v>
      </c>
      <c r="B153" s="116" t="s">
        <v>101</v>
      </c>
      <c r="C153" s="46">
        <v>100</v>
      </c>
      <c r="D153" s="47">
        <v>1.4</v>
      </c>
      <c r="E153" s="47">
        <v>10.1</v>
      </c>
      <c r="F153" s="47">
        <v>6.8</v>
      </c>
      <c r="G153" s="47">
        <v>124</v>
      </c>
      <c r="H153" s="47">
        <v>0.03</v>
      </c>
      <c r="I153" s="47">
        <v>16.2</v>
      </c>
      <c r="J153" s="47">
        <v>0</v>
      </c>
      <c r="K153" s="47">
        <v>0</v>
      </c>
      <c r="L153" s="47">
        <v>12.81</v>
      </c>
      <c r="M153" s="47">
        <v>20.13</v>
      </c>
      <c r="N153" s="47">
        <v>24.1</v>
      </c>
      <c r="O153" s="45">
        <v>0.53</v>
      </c>
    </row>
    <row r="154" spans="1:15" x14ac:dyDescent="0.65">
      <c r="A154" s="28">
        <v>110</v>
      </c>
      <c r="B154" s="29" t="s">
        <v>116</v>
      </c>
      <c r="C154" s="30">
        <v>250</v>
      </c>
      <c r="D154" s="30">
        <v>2</v>
      </c>
      <c r="E154" s="30">
        <v>5.2</v>
      </c>
      <c r="F154" s="30">
        <v>13.1</v>
      </c>
      <c r="G154" s="30">
        <v>106</v>
      </c>
      <c r="H154" s="30">
        <v>0.05</v>
      </c>
      <c r="I154" s="30">
        <v>10.29</v>
      </c>
      <c r="J154" s="30">
        <v>0</v>
      </c>
      <c r="K154" s="30">
        <v>0</v>
      </c>
      <c r="L154" s="30">
        <v>26.25</v>
      </c>
      <c r="M154" s="30">
        <v>44.38</v>
      </c>
      <c r="N154" s="30">
        <v>53.23</v>
      </c>
      <c r="O154" s="31">
        <v>1.19</v>
      </c>
    </row>
    <row r="155" spans="1:15" x14ac:dyDescent="0.65">
      <c r="A155" s="28">
        <v>500</v>
      </c>
      <c r="B155" s="29" t="s">
        <v>89</v>
      </c>
      <c r="C155" s="30">
        <v>180</v>
      </c>
      <c r="D155" s="30">
        <v>5.8</v>
      </c>
      <c r="E155" s="30">
        <v>5.2</v>
      </c>
      <c r="F155" s="30">
        <v>28.4</v>
      </c>
      <c r="G155" s="30">
        <v>186</v>
      </c>
      <c r="H155" s="30">
        <v>0.59</v>
      </c>
      <c r="I155" s="30">
        <v>0</v>
      </c>
      <c r="J155" s="30">
        <v>0</v>
      </c>
      <c r="K155" s="30">
        <v>0.13500000000000001</v>
      </c>
      <c r="L155" s="30">
        <v>115.2</v>
      </c>
      <c r="M155" s="30">
        <v>140.80000000000001</v>
      </c>
      <c r="N155" s="77">
        <v>392</v>
      </c>
      <c r="O155" s="31">
        <v>3.59</v>
      </c>
    </row>
    <row r="156" spans="1:15" x14ac:dyDescent="0.65">
      <c r="A156" s="28">
        <v>463</v>
      </c>
      <c r="B156" s="29" t="s">
        <v>126</v>
      </c>
      <c r="C156" s="30">
        <v>100</v>
      </c>
      <c r="D156" s="30">
        <v>9.1999999999999993</v>
      </c>
      <c r="E156" s="30">
        <v>18.100000000000001</v>
      </c>
      <c r="F156" s="30">
        <v>10</v>
      </c>
      <c r="G156" s="30">
        <v>240</v>
      </c>
      <c r="H156" s="30">
        <v>0.09</v>
      </c>
      <c r="I156" s="30">
        <v>0</v>
      </c>
      <c r="J156" s="30">
        <v>0.04</v>
      </c>
      <c r="K156" s="30">
        <v>39</v>
      </c>
      <c r="L156" s="30">
        <v>26</v>
      </c>
      <c r="M156" s="30">
        <v>2.8</v>
      </c>
      <c r="N156" s="30">
        <v>0.5</v>
      </c>
      <c r="O156" s="31">
        <v>185</v>
      </c>
    </row>
    <row r="157" spans="1:15" x14ac:dyDescent="0.65">
      <c r="A157" s="28">
        <v>639</v>
      </c>
      <c r="B157" s="29" t="s">
        <v>78</v>
      </c>
      <c r="C157" s="30">
        <v>250</v>
      </c>
      <c r="D157" s="30">
        <v>0.6</v>
      </c>
      <c r="E157" s="30">
        <v>0</v>
      </c>
      <c r="F157" s="30">
        <v>43.8</v>
      </c>
      <c r="G157" s="30">
        <v>176</v>
      </c>
      <c r="H157" s="30">
        <v>0</v>
      </c>
      <c r="I157" s="30">
        <v>0.8</v>
      </c>
      <c r="J157" s="30">
        <v>0</v>
      </c>
      <c r="K157" s="30">
        <v>10</v>
      </c>
      <c r="L157" s="30">
        <v>3</v>
      </c>
      <c r="M157" s="30">
        <v>0.6</v>
      </c>
      <c r="N157" s="77">
        <v>0</v>
      </c>
      <c r="O157" s="31">
        <v>6</v>
      </c>
    </row>
    <row r="158" spans="1:15" ht="13" thickBot="1" x14ac:dyDescent="0.8">
      <c r="A158" s="66"/>
      <c r="B158" s="67" t="s">
        <v>27</v>
      </c>
      <c r="C158" s="71">
        <v>60</v>
      </c>
      <c r="D158" s="71">
        <v>6</v>
      </c>
      <c r="E158" s="71">
        <v>2</v>
      </c>
      <c r="F158" s="71">
        <v>4</v>
      </c>
      <c r="G158" s="71">
        <v>44</v>
      </c>
      <c r="H158" s="71">
        <v>0.05</v>
      </c>
      <c r="I158" s="71">
        <v>0</v>
      </c>
      <c r="J158" s="71">
        <v>0</v>
      </c>
      <c r="K158" s="71">
        <v>10.5</v>
      </c>
      <c r="L158" s="71">
        <v>14</v>
      </c>
      <c r="M158" s="71">
        <v>1.17</v>
      </c>
      <c r="N158" s="71">
        <v>0.42</v>
      </c>
      <c r="O158" s="72">
        <v>47.4</v>
      </c>
    </row>
    <row r="159" spans="1:15" s="1" customFormat="1" ht="13" thickBot="1" x14ac:dyDescent="0.8">
      <c r="A159" s="19"/>
      <c r="B159" s="73" t="s">
        <v>23</v>
      </c>
      <c r="C159" s="74"/>
      <c r="D159" s="74">
        <f>D156+D157+D158</f>
        <v>15.799999999999999</v>
      </c>
      <c r="E159" s="74">
        <f t="shared" ref="E159:O159" si="17">E156+E157+E158</f>
        <v>20.100000000000001</v>
      </c>
      <c r="F159" s="74">
        <f t="shared" si="17"/>
        <v>57.8</v>
      </c>
      <c r="G159" s="74">
        <f t="shared" si="17"/>
        <v>460</v>
      </c>
      <c r="H159" s="74">
        <f t="shared" si="17"/>
        <v>0.14000000000000001</v>
      </c>
      <c r="I159" s="74">
        <f t="shared" si="17"/>
        <v>0.8</v>
      </c>
      <c r="J159" s="74">
        <f t="shared" si="17"/>
        <v>0.04</v>
      </c>
      <c r="K159" s="74">
        <f t="shared" si="17"/>
        <v>59.5</v>
      </c>
      <c r="L159" s="74">
        <f t="shared" si="17"/>
        <v>43</v>
      </c>
      <c r="M159" s="74">
        <f t="shared" si="17"/>
        <v>4.57</v>
      </c>
      <c r="N159" s="74">
        <f t="shared" si="17"/>
        <v>0.91999999999999993</v>
      </c>
      <c r="O159" s="95">
        <f t="shared" si="17"/>
        <v>238.4</v>
      </c>
    </row>
    <row r="160" spans="1:15" ht="13" thickBot="1" x14ac:dyDescent="0.8">
      <c r="A160" s="88"/>
      <c r="B160" s="36" t="s">
        <v>40</v>
      </c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1"/>
    </row>
    <row r="161" spans="1:15" x14ac:dyDescent="0.65">
      <c r="A161" s="28">
        <v>110</v>
      </c>
      <c r="B161" s="55" t="s">
        <v>116</v>
      </c>
      <c r="C161" s="30">
        <v>200</v>
      </c>
      <c r="D161" s="30">
        <f>2/250*200</f>
        <v>1.6</v>
      </c>
      <c r="E161" s="30">
        <f>5.2/250*200</f>
        <v>4.16</v>
      </c>
      <c r="F161" s="30">
        <f>13.1/250*200</f>
        <v>10.479999999999999</v>
      </c>
      <c r="G161" s="30">
        <f>106/250*200</f>
        <v>84.8</v>
      </c>
      <c r="H161" s="30">
        <v>0.05</v>
      </c>
      <c r="I161" s="30">
        <v>10.29</v>
      </c>
      <c r="J161" s="30">
        <v>0</v>
      </c>
      <c r="K161" s="30">
        <v>0</v>
      </c>
      <c r="L161" s="30">
        <v>26.25</v>
      </c>
      <c r="M161" s="30">
        <v>44.38</v>
      </c>
      <c r="N161" s="30">
        <v>52.23</v>
      </c>
      <c r="O161" s="31">
        <v>1.19</v>
      </c>
    </row>
    <row r="162" spans="1:15" x14ac:dyDescent="0.65">
      <c r="A162" s="28">
        <v>203</v>
      </c>
      <c r="B162" s="29" t="s">
        <v>59</v>
      </c>
      <c r="C162" s="30">
        <v>150</v>
      </c>
      <c r="D162" s="30">
        <f>2/100*150</f>
        <v>3</v>
      </c>
      <c r="E162" s="30">
        <f>5.1/100*150</f>
        <v>7.6499999999999995</v>
      </c>
      <c r="F162" s="30">
        <f>15.9/100*150</f>
        <v>23.85</v>
      </c>
      <c r="G162" s="30">
        <f>121/100*150</f>
        <v>181.5</v>
      </c>
      <c r="H162" s="30">
        <v>0.06</v>
      </c>
      <c r="I162" s="30">
        <v>25.5</v>
      </c>
      <c r="J162" s="30">
        <v>0.04</v>
      </c>
      <c r="K162" s="30">
        <v>91.5</v>
      </c>
      <c r="L162" s="30">
        <v>36</v>
      </c>
      <c r="M162" s="30">
        <v>1.5</v>
      </c>
      <c r="N162" s="30">
        <v>1.05</v>
      </c>
      <c r="O162" s="31">
        <v>82.5</v>
      </c>
    </row>
    <row r="163" spans="1:15" x14ac:dyDescent="0.65">
      <c r="A163" s="28">
        <v>452</v>
      </c>
      <c r="B163" s="29" t="s">
        <v>113</v>
      </c>
      <c r="C163" s="30">
        <v>90</v>
      </c>
      <c r="D163" s="30">
        <v>15.3</v>
      </c>
      <c r="E163" s="30">
        <v>15.4</v>
      </c>
      <c r="F163" s="30">
        <v>11.8</v>
      </c>
      <c r="G163" s="30">
        <v>146</v>
      </c>
      <c r="H163" s="30">
        <v>7.0000000000000007E-2</v>
      </c>
      <c r="I163" s="30">
        <v>0</v>
      </c>
      <c r="J163" s="30">
        <v>0.02</v>
      </c>
      <c r="K163" s="30">
        <v>33</v>
      </c>
      <c r="L163" s="30">
        <v>19</v>
      </c>
      <c r="M163" s="30">
        <v>1.9</v>
      </c>
      <c r="N163" s="30">
        <v>0.3</v>
      </c>
      <c r="O163" s="31">
        <v>150</v>
      </c>
    </row>
    <row r="164" spans="1:15" x14ac:dyDescent="0.65">
      <c r="A164" s="28">
        <v>701</v>
      </c>
      <c r="B164" s="29" t="s">
        <v>124</v>
      </c>
      <c r="C164" s="30">
        <v>250</v>
      </c>
      <c r="D164" s="30">
        <v>0.4</v>
      </c>
      <c r="E164" s="30">
        <v>0</v>
      </c>
      <c r="F164" s="30">
        <v>27.4</v>
      </c>
      <c r="G164" s="30">
        <v>106</v>
      </c>
      <c r="H164" s="30">
        <v>0</v>
      </c>
      <c r="I164" s="30">
        <v>0.8</v>
      </c>
      <c r="J164" s="30">
        <v>0</v>
      </c>
      <c r="K164" s="30">
        <v>10</v>
      </c>
      <c r="L164" s="30">
        <v>3</v>
      </c>
      <c r="M164" s="30">
        <v>0.6</v>
      </c>
      <c r="N164" s="30">
        <v>0</v>
      </c>
      <c r="O164" s="31">
        <v>6</v>
      </c>
    </row>
    <row r="165" spans="1:15" x14ac:dyDescent="0.65">
      <c r="A165" s="28"/>
      <c r="B165" s="29" t="s">
        <v>27</v>
      </c>
      <c r="C165" s="30">
        <v>40</v>
      </c>
      <c r="D165" s="30">
        <v>3.04</v>
      </c>
      <c r="E165" s="30">
        <v>0.48</v>
      </c>
      <c r="F165" s="30">
        <v>16.68</v>
      </c>
      <c r="G165" s="30">
        <v>85.2</v>
      </c>
      <c r="H165" s="30">
        <v>0.05</v>
      </c>
      <c r="I165" s="30">
        <v>0</v>
      </c>
      <c r="J165" s="30">
        <v>0</v>
      </c>
      <c r="K165" s="30">
        <v>10.5</v>
      </c>
      <c r="L165" s="30">
        <v>14</v>
      </c>
      <c r="M165" s="30">
        <v>1.17</v>
      </c>
      <c r="N165" s="30">
        <v>0.42</v>
      </c>
      <c r="O165" s="31">
        <v>47.4</v>
      </c>
    </row>
    <row r="166" spans="1:15" ht="13" thickBot="1" x14ac:dyDescent="0.8">
      <c r="A166" s="28"/>
      <c r="B166" s="29" t="s">
        <v>34</v>
      </c>
      <c r="C166" s="46">
        <v>40</v>
      </c>
      <c r="D166" s="47">
        <v>2.8</v>
      </c>
      <c r="E166" s="46">
        <v>4.4000000000000004</v>
      </c>
      <c r="F166" s="47">
        <v>29.6</v>
      </c>
      <c r="G166" s="47">
        <v>169.2</v>
      </c>
      <c r="H166" s="47">
        <v>0.03</v>
      </c>
      <c r="I166" s="47">
        <v>0</v>
      </c>
      <c r="J166" s="47">
        <v>4.0000000000000001E-3</v>
      </c>
      <c r="K166" s="47">
        <v>11.6</v>
      </c>
      <c r="L166" s="47">
        <v>8</v>
      </c>
      <c r="M166" s="47">
        <v>0.84</v>
      </c>
      <c r="N166" s="47">
        <v>1.4</v>
      </c>
      <c r="O166" s="31">
        <v>36</v>
      </c>
    </row>
    <row r="167" spans="1:15" s="1" customFormat="1" ht="13" thickBot="1" x14ac:dyDescent="0.8">
      <c r="A167" s="19"/>
      <c r="B167" s="32" t="s">
        <v>23</v>
      </c>
      <c r="C167" s="33">
        <f>SUM(C161:C166)</f>
        <v>770</v>
      </c>
      <c r="D167" s="33">
        <f t="shared" ref="D167:O167" si="18">SUM(D161:D166)</f>
        <v>26.139999999999997</v>
      </c>
      <c r="E167" s="33">
        <f t="shared" si="18"/>
        <v>32.090000000000003</v>
      </c>
      <c r="F167" s="33">
        <f t="shared" si="18"/>
        <v>119.81</v>
      </c>
      <c r="G167" s="33">
        <f t="shared" si="18"/>
        <v>772.7</v>
      </c>
      <c r="H167" s="33">
        <f t="shared" si="18"/>
        <v>0.26</v>
      </c>
      <c r="I167" s="33">
        <f t="shared" si="18"/>
        <v>36.589999999999996</v>
      </c>
      <c r="J167" s="33">
        <f t="shared" si="18"/>
        <v>6.4000000000000001E-2</v>
      </c>
      <c r="K167" s="33">
        <f t="shared" si="18"/>
        <v>156.6</v>
      </c>
      <c r="L167" s="33">
        <f t="shared" si="18"/>
        <v>106.25</v>
      </c>
      <c r="M167" s="33">
        <f t="shared" si="18"/>
        <v>50.390000000000008</v>
      </c>
      <c r="N167" s="33">
        <f t="shared" si="18"/>
        <v>55.399999999999991</v>
      </c>
      <c r="O167" s="34">
        <f t="shared" si="18"/>
        <v>323.08999999999997</v>
      </c>
    </row>
    <row r="168" spans="1:15" ht="13" thickBot="1" x14ac:dyDescent="0.8">
      <c r="A168" s="93"/>
      <c r="B168" s="36" t="s">
        <v>43</v>
      </c>
      <c r="C168" s="94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1"/>
    </row>
    <row r="169" spans="1:15" x14ac:dyDescent="0.65">
      <c r="A169" s="28">
        <v>492</v>
      </c>
      <c r="B169" s="55" t="s">
        <v>93</v>
      </c>
      <c r="C169" s="30">
        <v>250</v>
      </c>
      <c r="D169" s="30">
        <v>11.4</v>
      </c>
      <c r="E169" s="30">
        <v>9.75</v>
      </c>
      <c r="F169" s="30">
        <v>27.1</v>
      </c>
      <c r="G169" s="30">
        <v>247</v>
      </c>
      <c r="H169" s="30">
        <v>0.06</v>
      </c>
      <c r="I169" s="30">
        <v>0.3</v>
      </c>
      <c r="J169" s="30">
        <v>0.04</v>
      </c>
      <c r="K169" s="30">
        <v>20.7</v>
      </c>
      <c r="L169" s="30">
        <v>42.4</v>
      </c>
      <c r="M169" s="30">
        <v>2.2000000000000002</v>
      </c>
      <c r="N169" s="30">
        <v>0.5</v>
      </c>
      <c r="O169" s="31">
        <v>163.4</v>
      </c>
    </row>
    <row r="170" spans="1:15" x14ac:dyDescent="0.65">
      <c r="A170" s="28">
        <v>707</v>
      </c>
      <c r="B170" s="29" t="s">
        <v>60</v>
      </c>
      <c r="C170" s="30">
        <v>250</v>
      </c>
      <c r="D170" s="30">
        <v>1</v>
      </c>
      <c r="E170" s="30">
        <v>0.2</v>
      </c>
      <c r="F170" s="30">
        <v>0.2</v>
      </c>
      <c r="G170" s="30">
        <v>92</v>
      </c>
      <c r="H170" s="30">
        <v>0.02</v>
      </c>
      <c r="I170" s="30">
        <v>4</v>
      </c>
      <c r="J170" s="30">
        <v>0</v>
      </c>
      <c r="K170" s="30">
        <v>14</v>
      </c>
      <c r="L170" s="30">
        <v>0</v>
      </c>
      <c r="M170" s="30">
        <v>2.8</v>
      </c>
      <c r="N170" s="30">
        <v>0</v>
      </c>
      <c r="O170" s="31">
        <v>0</v>
      </c>
    </row>
    <row r="171" spans="1:15" ht="13" thickBot="1" x14ac:dyDescent="0.8">
      <c r="A171" s="23"/>
      <c r="B171" s="49" t="s">
        <v>27</v>
      </c>
      <c r="C171" s="56">
        <v>40</v>
      </c>
      <c r="D171" s="56">
        <v>3.04</v>
      </c>
      <c r="E171" s="56">
        <v>0.48</v>
      </c>
      <c r="F171" s="56">
        <v>16.68</v>
      </c>
      <c r="G171" s="56">
        <v>85.2</v>
      </c>
      <c r="H171" s="56">
        <v>0.05</v>
      </c>
      <c r="I171" s="56">
        <v>0</v>
      </c>
      <c r="J171" s="56">
        <v>0</v>
      </c>
      <c r="K171" s="56">
        <v>10.5</v>
      </c>
      <c r="L171" s="56">
        <v>14</v>
      </c>
      <c r="M171" s="56">
        <v>1.17</v>
      </c>
      <c r="N171" s="56">
        <v>0.42</v>
      </c>
      <c r="O171" s="51">
        <v>47.4</v>
      </c>
    </row>
    <row r="172" spans="1:15" s="1" customFormat="1" ht="13" thickBot="1" x14ac:dyDescent="0.8">
      <c r="A172" s="19"/>
      <c r="B172" s="32" t="s">
        <v>23</v>
      </c>
      <c r="C172" s="64">
        <f>SUM(C169:C171)</f>
        <v>540</v>
      </c>
      <c r="D172" s="64">
        <f t="shared" ref="D172:O172" si="19">SUM(D169:D171)</f>
        <v>15.440000000000001</v>
      </c>
      <c r="E172" s="64">
        <f t="shared" si="19"/>
        <v>10.43</v>
      </c>
      <c r="F172" s="64">
        <f t="shared" si="19"/>
        <v>43.980000000000004</v>
      </c>
      <c r="G172" s="64">
        <f t="shared" si="19"/>
        <v>424.2</v>
      </c>
      <c r="H172" s="64">
        <f t="shared" si="19"/>
        <v>0.13</v>
      </c>
      <c r="I172" s="64">
        <f t="shared" si="19"/>
        <v>4.3</v>
      </c>
      <c r="J172" s="64">
        <f t="shared" si="19"/>
        <v>0.04</v>
      </c>
      <c r="K172" s="64">
        <f t="shared" si="19"/>
        <v>45.2</v>
      </c>
      <c r="L172" s="64">
        <f t="shared" si="19"/>
        <v>56.4</v>
      </c>
      <c r="M172" s="64">
        <f t="shared" si="19"/>
        <v>6.17</v>
      </c>
      <c r="N172" s="64">
        <f t="shared" si="19"/>
        <v>0.91999999999999993</v>
      </c>
      <c r="O172" s="128">
        <f t="shared" si="19"/>
        <v>210.8</v>
      </c>
    </row>
    <row r="173" spans="1:15" ht="13" thickBot="1" x14ac:dyDescent="0.8">
      <c r="A173" s="117"/>
      <c r="B173" s="15" t="s">
        <v>61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1"/>
    </row>
    <row r="174" spans="1:15" ht="13" thickBot="1" x14ac:dyDescent="0.8">
      <c r="A174" s="93"/>
      <c r="B174" s="36" t="s">
        <v>37</v>
      </c>
      <c r="C174" s="94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1"/>
    </row>
    <row r="175" spans="1:15" x14ac:dyDescent="0.65">
      <c r="A175" s="93"/>
      <c r="B175" s="138" t="s">
        <v>107</v>
      </c>
      <c r="C175" s="94">
        <v>40</v>
      </c>
      <c r="D175" s="30">
        <v>3.04</v>
      </c>
      <c r="E175" s="30">
        <v>0.48</v>
      </c>
      <c r="F175" s="30">
        <v>16.68</v>
      </c>
      <c r="G175" s="30">
        <v>85.2</v>
      </c>
      <c r="H175" s="30">
        <v>0.03</v>
      </c>
      <c r="I175" s="30">
        <v>0</v>
      </c>
      <c r="J175" s="30">
        <v>4.0000000000000001E-3</v>
      </c>
      <c r="K175" s="30">
        <v>11.6</v>
      </c>
      <c r="L175" s="30">
        <v>8</v>
      </c>
      <c r="M175" s="30">
        <v>0.84</v>
      </c>
      <c r="N175" s="30">
        <v>1.4</v>
      </c>
      <c r="O175" s="31">
        <v>36</v>
      </c>
    </row>
    <row r="176" spans="1:15" x14ac:dyDescent="0.65">
      <c r="A176" s="28">
        <v>302</v>
      </c>
      <c r="B176" s="55" t="s">
        <v>102</v>
      </c>
      <c r="C176" s="30">
        <v>250</v>
      </c>
      <c r="D176" s="30">
        <v>5.96</v>
      </c>
      <c r="E176" s="30">
        <v>11.4</v>
      </c>
      <c r="F176" s="30">
        <v>34.1</v>
      </c>
      <c r="G176" s="30">
        <v>237.25</v>
      </c>
      <c r="H176" s="30">
        <v>0.12</v>
      </c>
      <c r="I176" s="30">
        <v>1.42</v>
      </c>
      <c r="J176" s="30">
        <v>0.08</v>
      </c>
      <c r="K176" s="30">
        <v>167</v>
      </c>
      <c r="L176" s="30">
        <v>37.200000000000003</v>
      </c>
      <c r="M176" s="30">
        <v>0.92</v>
      </c>
      <c r="N176" s="30">
        <v>0.76</v>
      </c>
      <c r="O176" s="31">
        <v>250.6</v>
      </c>
    </row>
    <row r="177" spans="1:17" ht="13" thickBot="1" x14ac:dyDescent="0.8">
      <c r="A177" s="23">
        <v>646</v>
      </c>
      <c r="B177" s="49" t="s">
        <v>106</v>
      </c>
      <c r="C177" s="56">
        <v>250</v>
      </c>
      <c r="D177" s="56">
        <v>0.4</v>
      </c>
      <c r="E177" s="56">
        <v>0</v>
      </c>
      <c r="F177" s="56">
        <f>16.5*2</f>
        <v>33</v>
      </c>
      <c r="G177" s="56">
        <f>69*2</f>
        <v>138</v>
      </c>
      <c r="H177" s="56">
        <v>0</v>
      </c>
      <c r="I177" s="56">
        <v>0</v>
      </c>
      <c r="J177" s="56">
        <v>0</v>
      </c>
      <c r="K177" s="56">
        <v>1</v>
      </c>
      <c r="L177" s="56">
        <v>0</v>
      </c>
      <c r="M177" s="56">
        <v>0.1</v>
      </c>
      <c r="N177" s="56">
        <v>0</v>
      </c>
      <c r="O177" s="51">
        <v>0</v>
      </c>
    </row>
    <row r="178" spans="1:17" s="1" customFormat="1" ht="13" thickBot="1" x14ac:dyDescent="0.8">
      <c r="A178" s="19"/>
      <c r="B178" s="32" t="s">
        <v>23</v>
      </c>
      <c r="C178" s="33">
        <f>SUM(C176:C177)</f>
        <v>500</v>
      </c>
      <c r="D178" s="33">
        <f t="shared" ref="D178:O178" si="20">SUM(D176:D177)</f>
        <v>6.36</v>
      </c>
      <c r="E178" s="33">
        <f t="shared" si="20"/>
        <v>11.4</v>
      </c>
      <c r="F178" s="33">
        <f t="shared" si="20"/>
        <v>67.099999999999994</v>
      </c>
      <c r="G178" s="33">
        <f t="shared" si="20"/>
        <v>375.25</v>
      </c>
      <c r="H178" s="33">
        <f t="shared" si="20"/>
        <v>0.12</v>
      </c>
      <c r="I178" s="33">
        <f t="shared" si="20"/>
        <v>1.42</v>
      </c>
      <c r="J178" s="33">
        <f t="shared" si="20"/>
        <v>0.08</v>
      </c>
      <c r="K178" s="33">
        <f t="shared" si="20"/>
        <v>168</v>
      </c>
      <c r="L178" s="33">
        <f t="shared" si="20"/>
        <v>37.200000000000003</v>
      </c>
      <c r="M178" s="33">
        <f t="shared" si="20"/>
        <v>1.02</v>
      </c>
      <c r="N178" s="33">
        <f t="shared" si="20"/>
        <v>0.76</v>
      </c>
      <c r="O178" s="34">
        <f t="shared" si="20"/>
        <v>250.6</v>
      </c>
    </row>
    <row r="179" spans="1:17" ht="13" thickBot="1" x14ac:dyDescent="0.8">
      <c r="A179" s="88"/>
      <c r="B179" s="36" t="s">
        <v>38</v>
      </c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1"/>
    </row>
    <row r="180" spans="1:17" x14ac:dyDescent="0.65">
      <c r="A180" s="28">
        <v>302</v>
      </c>
      <c r="B180" s="55" t="s">
        <v>104</v>
      </c>
      <c r="C180" s="30">
        <v>250</v>
      </c>
      <c r="D180" s="30">
        <v>6.38</v>
      </c>
      <c r="E180" s="30">
        <v>10.119999999999999</v>
      </c>
      <c r="F180" s="30">
        <v>34.9</v>
      </c>
      <c r="G180" s="30">
        <v>264</v>
      </c>
      <c r="H180" s="30">
        <v>0.18</v>
      </c>
      <c r="I180" s="30">
        <v>1.36</v>
      </c>
      <c r="J180" s="30">
        <v>0.08</v>
      </c>
      <c r="K180" s="30">
        <v>144.6</v>
      </c>
      <c r="L180" s="30">
        <v>55.4</v>
      </c>
      <c r="M180" s="30">
        <v>1.46</v>
      </c>
      <c r="N180" s="30">
        <v>0.24</v>
      </c>
      <c r="O180" s="31">
        <v>259.8</v>
      </c>
    </row>
    <row r="181" spans="1:17" x14ac:dyDescent="0.65">
      <c r="A181" s="28"/>
      <c r="B181" s="55" t="s">
        <v>95</v>
      </c>
      <c r="C181" s="30">
        <v>200</v>
      </c>
      <c r="D181" s="30"/>
      <c r="E181" s="30"/>
      <c r="F181" s="30"/>
      <c r="G181" s="30"/>
      <c r="H181" s="30">
        <v>0.05</v>
      </c>
      <c r="I181" s="30">
        <v>0</v>
      </c>
      <c r="J181" s="30">
        <v>0</v>
      </c>
      <c r="K181" s="30">
        <v>10.5</v>
      </c>
      <c r="L181" s="30">
        <v>14</v>
      </c>
      <c r="M181" s="30">
        <v>1.17</v>
      </c>
      <c r="N181" s="30">
        <v>0.42</v>
      </c>
      <c r="O181" s="31">
        <v>47.4</v>
      </c>
    </row>
    <row r="182" spans="1:17" x14ac:dyDescent="0.65">
      <c r="A182" s="28">
        <v>692</v>
      </c>
      <c r="B182" s="29" t="s">
        <v>88</v>
      </c>
      <c r="C182" s="30">
        <v>250</v>
      </c>
      <c r="D182" s="30">
        <v>2.5</v>
      </c>
      <c r="E182" s="30">
        <v>3.6</v>
      </c>
      <c r="F182" s="30">
        <v>43.8</v>
      </c>
      <c r="G182" s="30">
        <v>176</v>
      </c>
      <c r="H182" s="30">
        <v>0</v>
      </c>
      <c r="I182" s="30">
        <v>0</v>
      </c>
      <c r="J182" s="30">
        <v>0</v>
      </c>
      <c r="K182" s="30">
        <v>6</v>
      </c>
      <c r="L182" s="30">
        <v>0</v>
      </c>
      <c r="M182" s="30">
        <v>6.52</v>
      </c>
      <c r="N182" s="30">
        <v>0</v>
      </c>
      <c r="O182" s="31">
        <v>0</v>
      </c>
    </row>
    <row r="183" spans="1:17" ht="13" thickBot="1" x14ac:dyDescent="0.8">
      <c r="A183" s="23">
        <v>3</v>
      </c>
      <c r="B183" s="49" t="s">
        <v>98</v>
      </c>
      <c r="C183" s="56">
        <v>60</v>
      </c>
      <c r="D183" s="56">
        <v>4.7</v>
      </c>
      <c r="E183" s="56">
        <v>7.9</v>
      </c>
      <c r="F183" s="56">
        <v>7.3</v>
      </c>
      <c r="G183" s="56">
        <v>123</v>
      </c>
      <c r="H183" s="56">
        <v>0.03</v>
      </c>
      <c r="I183" s="56">
        <v>0</v>
      </c>
      <c r="J183" s="56">
        <v>4.0000000000000001E-3</v>
      </c>
      <c r="K183" s="56">
        <v>11.6</v>
      </c>
      <c r="L183" s="56">
        <v>8</v>
      </c>
      <c r="M183" s="56">
        <v>0.84</v>
      </c>
      <c r="N183" s="56">
        <v>1.4</v>
      </c>
      <c r="O183" s="51">
        <v>36</v>
      </c>
    </row>
    <row r="184" spans="1:17" s="1" customFormat="1" ht="13" thickBot="1" x14ac:dyDescent="0.8">
      <c r="A184" s="19"/>
      <c r="B184" s="32" t="s">
        <v>23</v>
      </c>
      <c r="C184" s="33">
        <f>SUM(C180:C183)</f>
        <v>760</v>
      </c>
      <c r="D184" s="33">
        <f t="shared" ref="D184:O184" si="21">SUM(D180:D183)</f>
        <v>13.579999999999998</v>
      </c>
      <c r="E184" s="33">
        <f t="shared" si="21"/>
        <v>21.619999999999997</v>
      </c>
      <c r="F184" s="33">
        <f t="shared" si="21"/>
        <v>85.999999999999986</v>
      </c>
      <c r="G184" s="33">
        <f t="shared" si="21"/>
        <v>563</v>
      </c>
      <c r="H184" s="33">
        <f t="shared" si="21"/>
        <v>0.26</v>
      </c>
      <c r="I184" s="33">
        <f t="shared" si="21"/>
        <v>1.36</v>
      </c>
      <c r="J184" s="33">
        <f t="shared" si="21"/>
        <v>8.4000000000000005E-2</v>
      </c>
      <c r="K184" s="33">
        <f t="shared" si="21"/>
        <v>172.7</v>
      </c>
      <c r="L184" s="33">
        <f t="shared" si="21"/>
        <v>77.400000000000006</v>
      </c>
      <c r="M184" s="33">
        <f t="shared" si="21"/>
        <v>9.9899999999999984</v>
      </c>
      <c r="N184" s="33">
        <f t="shared" si="21"/>
        <v>2.0599999999999996</v>
      </c>
      <c r="O184" s="34">
        <f t="shared" si="21"/>
        <v>343.2</v>
      </c>
    </row>
    <row r="185" spans="1:17" ht="13" thickBot="1" x14ac:dyDescent="0.8">
      <c r="A185" s="88"/>
      <c r="B185" s="36" t="s">
        <v>39</v>
      </c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1"/>
    </row>
    <row r="186" spans="1:17" x14ac:dyDescent="0.65">
      <c r="A186" s="28">
        <v>68</v>
      </c>
      <c r="B186" s="55" t="s">
        <v>79</v>
      </c>
      <c r="C186" s="30">
        <v>100</v>
      </c>
      <c r="D186" s="30">
        <v>17.899999999999999</v>
      </c>
      <c r="E186" s="30">
        <v>27.1</v>
      </c>
      <c r="F186" s="30">
        <v>4.4000000000000004</v>
      </c>
      <c r="G186" s="30">
        <v>334</v>
      </c>
      <c r="H186" s="30">
        <v>0.08</v>
      </c>
      <c r="I186" s="30">
        <v>13.1</v>
      </c>
      <c r="J186" s="30">
        <v>0</v>
      </c>
      <c r="K186" s="30">
        <v>19</v>
      </c>
      <c r="L186" s="30">
        <v>21</v>
      </c>
      <c r="M186" s="30">
        <v>0.7</v>
      </c>
      <c r="N186" s="30">
        <v>2.4</v>
      </c>
      <c r="O186" s="31">
        <v>49</v>
      </c>
      <c r="P186" s="57"/>
      <c r="Q186" s="54"/>
    </row>
    <row r="187" spans="1:17" x14ac:dyDescent="0.65">
      <c r="A187" s="28">
        <v>139</v>
      </c>
      <c r="B187" s="29" t="s">
        <v>62</v>
      </c>
      <c r="C187" s="30">
        <v>250</v>
      </c>
      <c r="D187" s="118">
        <v>6.2</v>
      </c>
      <c r="E187" s="30">
        <v>5.6</v>
      </c>
      <c r="F187" s="29">
        <v>22.3</v>
      </c>
      <c r="G187" s="30">
        <v>167</v>
      </c>
      <c r="H187" s="29">
        <v>0.19</v>
      </c>
      <c r="I187" s="30">
        <v>8.6</v>
      </c>
      <c r="J187" s="29">
        <v>0.03</v>
      </c>
      <c r="K187" s="30">
        <v>19</v>
      </c>
      <c r="L187" s="29">
        <v>25.5</v>
      </c>
      <c r="M187" s="30">
        <v>0.9</v>
      </c>
      <c r="N187" s="29">
        <v>0.2</v>
      </c>
      <c r="O187" s="31">
        <v>85.7</v>
      </c>
    </row>
    <row r="188" spans="1:17" x14ac:dyDescent="0.65">
      <c r="A188" s="103">
        <v>520</v>
      </c>
      <c r="B188" s="24" t="s">
        <v>26</v>
      </c>
      <c r="C188" s="59">
        <v>180</v>
      </c>
      <c r="D188" s="54">
        <v>8</v>
      </c>
      <c r="E188" s="59">
        <v>12</v>
      </c>
      <c r="F188" s="54">
        <v>28</v>
      </c>
      <c r="G188" s="59">
        <v>208</v>
      </c>
      <c r="H188" s="54">
        <v>0.06</v>
      </c>
      <c r="I188" s="59">
        <v>0</v>
      </c>
      <c r="J188" s="54">
        <v>21</v>
      </c>
      <c r="K188" s="59">
        <v>4.8600000000000003</v>
      </c>
      <c r="L188" s="24">
        <v>21.12</v>
      </c>
      <c r="M188" s="59">
        <v>1.1100000000000001</v>
      </c>
      <c r="N188" s="24">
        <v>0</v>
      </c>
      <c r="O188" s="84">
        <v>37.17</v>
      </c>
    </row>
    <row r="189" spans="1:17" x14ac:dyDescent="0.65">
      <c r="A189" s="28">
        <v>369</v>
      </c>
      <c r="B189" s="29" t="s">
        <v>121</v>
      </c>
      <c r="C189" s="30">
        <v>100</v>
      </c>
      <c r="D189" s="30">
        <v>9.8000000000000007</v>
      </c>
      <c r="E189" s="30">
        <v>3.4</v>
      </c>
      <c r="F189" s="30">
        <v>2.1</v>
      </c>
      <c r="G189" s="30">
        <v>80</v>
      </c>
      <c r="H189" s="30">
        <v>0.6</v>
      </c>
      <c r="I189" s="30">
        <v>0.52</v>
      </c>
      <c r="J189" s="30">
        <v>6</v>
      </c>
      <c r="K189" s="30">
        <v>0</v>
      </c>
      <c r="L189" s="30">
        <v>13</v>
      </c>
      <c r="M189" s="30">
        <v>11.8</v>
      </c>
      <c r="N189" s="30">
        <v>142.6</v>
      </c>
      <c r="O189" s="31">
        <v>0.47</v>
      </c>
      <c r="P189" s="57"/>
      <c r="Q189" s="54"/>
    </row>
    <row r="190" spans="1:17" x14ac:dyDescent="0.65">
      <c r="A190" s="42">
        <v>631</v>
      </c>
      <c r="B190" s="55" t="s">
        <v>137</v>
      </c>
      <c r="C190" s="21">
        <v>200</v>
      </c>
      <c r="D190" s="21">
        <v>0.6</v>
      </c>
      <c r="E190" s="21">
        <v>0</v>
      </c>
      <c r="F190" s="21">
        <v>46.6</v>
      </c>
      <c r="G190" s="21">
        <v>182</v>
      </c>
      <c r="H190" s="21">
        <v>0</v>
      </c>
      <c r="I190" s="21">
        <v>0</v>
      </c>
      <c r="J190" s="21">
        <v>0</v>
      </c>
      <c r="K190" s="21">
        <v>6</v>
      </c>
      <c r="L190" s="21">
        <v>0</v>
      </c>
      <c r="M190" s="21">
        <v>6.52</v>
      </c>
      <c r="N190" s="21">
        <v>0</v>
      </c>
      <c r="O190" s="22">
        <v>0</v>
      </c>
    </row>
    <row r="191" spans="1:17" ht="13" thickBot="1" x14ac:dyDescent="0.8">
      <c r="A191" s="103"/>
      <c r="B191" s="24" t="s">
        <v>27</v>
      </c>
      <c r="C191" s="59">
        <v>60</v>
      </c>
      <c r="D191" s="59">
        <v>3</v>
      </c>
      <c r="E191" s="59">
        <v>1</v>
      </c>
      <c r="F191" s="59">
        <v>2</v>
      </c>
      <c r="G191" s="59">
        <v>44</v>
      </c>
      <c r="H191" s="59">
        <v>0.05</v>
      </c>
      <c r="I191" s="59">
        <v>0</v>
      </c>
      <c r="J191" s="59">
        <v>0</v>
      </c>
      <c r="K191" s="59">
        <v>10.5</v>
      </c>
      <c r="L191" s="59">
        <v>14</v>
      </c>
      <c r="M191" s="59">
        <v>1.17</v>
      </c>
      <c r="N191" s="59">
        <v>0.42</v>
      </c>
      <c r="O191" s="84">
        <v>47.4</v>
      </c>
    </row>
    <row r="192" spans="1:17" s="1" customFormat="1" ht="13" thickBot="1" x14ac:dyDescent="0.8">
      <c r="A192" s="119"/>
      <c r="B192" s="120" t="s">
        <v>23</v>
      </c>
      <c r="C192" s="33"/>
      <c r="D192" s="121"/>
      <c r="E192" s="121"/>
      <c r="F192" s="121"/>
      <c r="G192" s="121">
        <v>1015</v>
      </c>
      <c r="H192" s="121"/>
      <c r="I192" s="121"/>
      <c r="J192" s="121"/>
      <c r="K192" s="121"/>
      <c r="L192" s="121"/>
      <c r="M192" s="121"/>
      <c r="N192" s="121"/>
      <c r="O192" s="122"/>
    </row>
    <row r="193" spans="1:17" s="1" customFormat="1" ht="13" thickBot="1" x14ac:dyDescent="0.8">
      <c r="A193" s="123"/>
      <c r="B193" s="36" t="s">
        <v>40</v>
      </c>
      <c r="C193" s="124"/>
      <c r="D193" s="125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7"/>
    </row>
    <row r="194" spans="1:17" x14ac:dyDescent="0.65">
      <c r="A194" s="28">
        <v>139</v>
      </c>
      <c r="B194" s="55" t="s">
        <v>62</v>
      </c>
      <c r="C194" s="30">
        <v>200</v>
      </c>
      <c r="D194" s="118">
        <f>6.2/250*200</f>
        <v>4.96</v>
      </c>
      <c r="E194" s="30">
        <f>5.6/250*200</f>
        <v>4.4799999999999995</v>
      </c>
      <c r="F194" s="29">
        <f>22.3/250*200</f>
        <v>17.84</v>
      </c>
      <c r="G194" s="30">
        <f>167/250*200</f>
        <v>133.6</v>
      </c>
      <c r="H194" s="29">
        <v>0.19</v>
      </c>
      <c r="I194" s="30">
        <v>8.6</v>
      </c>
      <c r="J194" s="29">
        <v>0.03</v>
      </c>
      <c r="K194" s="30">
        <v>19</v>
      </c>
      <c r="L194" s="29">
        <v>25.5</v>
      </c>
      <c r="M194" s="30">
        <v>0.9</v>
      </c>
      <c r="N194" s="29">
        <v>0.2</v>
      </c>
      <c r="O194" s="31">
        <v>85.7</v>
      </c>
    </row>
    <row r="195" spans="1:17" x14ac:dyDescent="0.65">
      <c r="A195" s="103">
        <v>508</v>
      </c>
      <c r="B195" s="24" t="s">
        <v>31</v>
      </c>
      <c r="C195" s="59">
        <v>150</v>
      </c>
      <c r="D195" s="54">
        <f>5.6/100*150</f>
        <v>8.3999999999999986</v>
      </c>
      <c r="E195" s="59">
        <f>7.2/100*150</f>
        <v>10.8</v>
      </c>
      <c r="F195" s="54">
        <f>27.5/100*150</f>
        <v>41.25</v>
      </c>
      <c r="G195" s="59">
        <f>202/100*150</f>
        <v>303</v>
      </c>
      <c r="H195" s="24">
        <v>0.18</v>
      </c>
      <c r="I195" s="59">
        <v>0</v>
      </c>
      <c r="J195" s="24">
        <v>0.02</v>
      </c>
      <c r="K195" s="59">
        <v>0</v>
      </c>
      <c r="L195" s="24">
        <v>67.5</v>
      </c>
      <c r="M195" s="59">
        <v>12.987</v>
      </c>
      <c r="N195" s="24">
        <v>208.35</v>
      </c>
      <c r="O195" s="84">
        <v>3.95</v>
      </c>
    </row>
    <row r="196" spans="1:17" x14ac:dyDescent="0.65">
      <c r="A196" s="28">
        <v>437</v>
      </c>
      <c r="B196" s="29" t="s">
        <v>35</v>
      </c>
      <c r="C196" s="30">
        <v>90</v>
      </c>
      <c r="D196" s="30">
        <v>19.7</v>
      </c>
      <c r="E196" s="30">
        <v>17.89</v>
      </c>
      <c r="F196" s="30">
        <v>4.76</v>
      </c>
      <c r="G196" s="30">
        <v>168.2</v>
      </c>
      <c r="H196" s="30">
        <v>0.17</v>
      </c>
      <c r="I196" s="30">
        <v>1.28</v>
      </c>
      <c r="J196" s="30">
        <v>0</v>
      </c>
      <c r="K196" s="30">
        <v>0</v>
      </c>
      <c r="L196" s="30">
        <v>26.01</v>
      </c>
      <c r="M196" s="30">
        <v>24.36</v>
      </c>
      <c r="N196" s="30">
        <v>194.6</v>
      </c>
      <c r="O196" s="31">
        <v>2.3199999999999998</v>
      </c>
      <c r="P196" s="57"/>
      <c r="Q196" s="54"/>
    </row>
    <row r="197" spans="1:17" x14ac:dyDescent="0.65">
      <c r="A197" s="42">
        <v>686</v>
      </c>
      <c r="B197" s="55" t="s">
        <v>63</v>
      </c>
      <c r="C197" s="21" t="s">
        <v>75</v>
      </c>
      <c r="D197" s="21">
        <v>0.3</v>
      </c>
      <c r="E197" s="21">
        <v>0</v>
      </c>
      <c r="F197" s="21">
        <v>15.2</v>
      </c>
      <c r="G197" s="21">
        <v>60</v>
      </c>
      <c r="H197" s="21">
        <v>0</v>
      </c>
      <c r="I197" s="21">
        <v>2.8</v>
      </c>
      <c r="J197" s="21">
        <v>0</v>
      </c>
      <c r="K197" s="21">
        <v>14.2</v>
      </c>
      <c r="L197" s="21">
        <v>2</v>
      </c>
      <c r="M197" s="21">
        <v>0.4</v>
      </c>
      <c r="N197" s="21">
        <v>0</v>
      </c>
      <c r="O197" s="22">
        <v>4</v>
      </c>
    </row>
    <row r="198" spans="1:17" x14ac:dyDescent="0.65">
      <c r="A198" s="28"/>
      <c r="B198" s="29" t="s">
        <v>64</v>
      </c>
      <c r="C198" s="30">
        <v>50</v>
      </c>
      <c r="D198" s="30">
        <v>4.7</v>
      </c>
      <c r="E198" s="30">
        <v>5.7</v>
      </c>
      <c r="F198" s="30">
        <v>37</v>
      </c>
      <c r="G198" s="30">
        <v>218</v>
      </c>
      <c r="H198" s="30">
        <v>0.06</v>
      </c>
      <c r="I198" s="30">
        <v>0</v>
      </c>
      <c r="J198" s="30">
        <v>0.05</v>
      </c>
      <c r="K198" s="30">
        <v>15</v>
      </c>
      <c r="L198" s="30">
        <v>7</v>
      </c>
      <c r="M198" s="30">
        <v>0.6</v>
      </c>
      <c r="N198" s="30">
        <v>0.7</v>
      </c>
      <c r="O198" s="31">
        <v>42</v>
      </c>
    </row>
    <row r="199" spans="1:17" ht="13" thickBot="1" x14ac:dyDescent="0.8">
      <c r="A199" s="103"/>
      <c r="B199" s="24" t="s">
        <v>27</v>
      </c>
      <c r="C199" s="59">
        <v>40</v>
      </c>
      <c r="D199" s="59">
        <v>3.04</v>
      </c>
      <c r="E199" s="59">
        <v>0.48</v>
      </c>
      <c r="F199" s="59">
        <v>16.68</v>
      </c>
      <c r="G199" s="59">
        <v>85.2</v>
      </c>
      <c r="H199" s="59">
        <v>0.05</v>
      </c>
      <c r="I199" s="59">
        <v>0</v>
      </c>
      <c r="J199" s="59">
        <v>0</v>
      </c>
      <c r="K199" s="59">
        <v>10.5</v>
      </c>
      <c r="L199" s="59">
        <v>14</v>
      </c>
      <c r="M199" s="59">
        <v>1.17</v>
      </c>
      <c r="N199" s="59">
        <v>0.42</v>
      </c>
      <c r="O199" s="84">
        <v>47.4</v>
      </c>
    </row>
    <row r="200" spans="1:17" s="1" customFormat="1" ht="13" thickBot="1" x14ac:dyDescent="0.8">
      <c r="A200" s="119"/>
      <c r="B200" s="32" t="s">
        <v>23</v>
      </c>
      <c r="C200" s="33">
        <f>SUM(C194:C199)</f>
        <v>530</v>
      </c>
      <c r="D200" s="33">
        <f t="shared" ref="D200:O200" si="22">SUM(D194:D199)</f>
        <v>41.1</v>
      </c>
      <c r="E200" s="33">
        <f t="shared" si="22"/>
        <v>39.35</v>
      </c>
      <c r="F200" s="33">
        <f t="shared" si="22"/>
        <v>132.72999999999999</v>
      </c>
      <c r="G200" s="33">
        <f t="shared" si="22"/>
        <v>968</v>
      </c>
      <c r="H200" s="33">
        <f t="shared" si="22"/>
        <v>0.65000000000000013</v>
      </c>
      <c r="I200" s="33">
        <f t="shared" si="22"/>
        <v>12.68</v>
      </c>
      <c r="J200" s="33">
        <f t="shared" si="22"/>
        <v>0.1</v>
      </c>
      <c r="K200" s="33">
        <f t="shared" si="22"/>
        <v>58.7</v>
      </c>
      <c r="L200" s="33">
        <f t="shared" si="22"/>
        <v>142.01</v>
      </c>
      <c r="M200" s="33">
        <f t="shared" si="22"/>
        <v>40.417000000000002</v>
      </c>
      <c r="N200" s="33">
        <f t="shared" si="22"/>
        <v>404.27</v>
      </c>
      <c r="O200" s="34">
        <f t="shared" si="22"/>
        <v>185.37</v>
      </c>
    </row>
    <row r="201" spans="1:17" ht="13" thickBot="1" x14ac:dyDescent="0.8">
      <c r="A201" s="93"/>
      <c r="B201" s="36" t="s">
        <v>43</v>
      </c>
      <c r="C201" s="94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1"/>
      <c r="P201" s="57"/>
      <c r="Q201" s="54"/>
    </row>
    <row r="202" spans="1:17" x14ac:dyDescent="0.65">
      <c r="A202" s="42">
        <v>336</v>
      </c>
      <c r="B202" s="55" t="s">
        <v>65</v>
      </c>
      <c r="C202" s="21">
        <v>250</v>
      </c>
      <c r="D202" s="21">
        <f>5.3/100*200</f>
        <v>10.6</v>
      </c>
      <c r="E202" s="21">
        <f>7.2/100*200</f>
        <v>14.400000000000002</v>
      </c>
      <c r="F202" s="21">
        <f>27.2/100*200</f>
        <v>54.400000000000006</v>
      </c>
      <c r="G202" s="21">
        <f>197/100*200</f>
        <v>394</v>
      </c>
      <c r="H202" s="21">
        <v>0.06</v>
      </c>
      <c r="I202" s="21">
        <v>0.02</v>
      </c>
      <c r="J202" s="21">
        <v>0.17</v>
      </c>
      <c r="K202" s="21">
        <v>85.5</v>
      </c>
      <c r="L202" s="21">
        <v>12.29</v>
      </c>
      <c r="M202" s="21">
        <v>0.9</v>
      </c>
      <c r="N202" s="21">
        <v>1.05</v>
      </c>
      <c r="O202" s="22">
        <v>114.4</v>
      </c>
    </row>
    <row r="203" spans="1:17" x14ac:dyDescent="0.65">
      <c r="A203" s="28">
        <v>685</v>
      </c>
      <c r="B203" s="29" t="s">
        <v>24</v>
      </c>
      <c r="C203" s="30">
        <v>250</v>
      </c>
      <c r="D203" s="30">
        <v>0.2</v>
      </c>
      <c r="E203" s="30">
        <v>0</v>
      </c>
      <c r="F203" s="30">
        <v>0</v>
      </c>
      <c r="G203" s="30">
        <v>4.5999999999999996</v>
      </c>
      <c r="H203" s="30">
        <v>0.02</v>
      </c>
      <c r="I203" s="30">
        <v>4</v>
      </c>
      <c r="J203" s="30">
        <v>0</v>
      </c>
      <c r="K203" s="30">
        <v>14</v>
      </c>
      <c r="L203" s="30">
        <v>0</v>
      </c>
      <c r="M203" s="30">
        <v>2.8</v>
      </c>
      <c r="N203" s="30">
        <v>0</v>
      </c>
      <c r="O203" s="31">
        <v>0</v>
      </c>
    </row>
    <row r="204" spans="1:17" ht="13" thickBot="1" x14ac:dyDescent="0.8">
      <c r="A204" s="103"/>
      <c r="B204" s="24" t="s">
        <v>27</v>
      </c>
      <c r="C204" s="59">
        <v>40</v>
      </c>
      <c r="D204" s="59">
        <v>3.04</v>
      </c>
      <c r="E204" s="59">
        <v>0.48</v>
      </c>
      <c r="F204" s="59">
        <v>16.68</v>
      </c>
      <c r="G204" s="59">
        <v>85.2</v>
      </c>
      <c r="H204" s="59">
        <v>0.05</v>
      </c>
      <c r="I204" s="59">
        <v>0</v>
      </c>
      <c r="J204" s="59">
        <v>0</v>
      </c>
      <c r="K204" s="59">
        <v>10.5</v>
      </c>
      <c r="L204" s="59">
        <v>14</v>
      </c>
      <c r="M204" s="59">
        <v>1.17</v>
      </c>
      <c r="N204" s="59">
        <v>0.42</v>
      </c>
      <c r="O204" s="84">
        <v>47.4</v>
      </c>
    </row>
    <row r="205" spans="1:17" s="1" customFormat="1" ht="13" thickBot="1" x14ac:dyDescent="0.8">
      <c r="A205" s="119"/>
      <c r="B205" s="32" t="s">
        <v>23</v>
      </c>
      <c r="C205" s="33">
        <f>SUM(C202:C204)</f>
        <v>540</v>
      </c>
      <c r="D205" s="33">
        <f t="shared" ref="D205:O205" si="23">SUM(D202:D204)</f>
        <v>13.84</v>
      </c>
      <c r="E205" s="33">
        <f t="shared" si="23"/>
        <v>14.880000000000003</v>
      </c>
      <c r="F205" s="33">
        <f t="shared" si="23"/>
        <v>71.080000000000013</v>
      </c>
      <c r="G205" s="33">
        <f t="shared" si="23"/>
        <v>483.8</v>
      </c>
      <c r="H205" s="33">
        <f t="shared" si="23"/>
        <v>0.13</v>
      </c>
      <c r="I205" s="33">
        <f t="shared" si="23"/>
        <v>4.0199999999999996</v>
      </c>
      <c r="J205" s="33">
        <f t="shared" si="23"/>
        <v>0.17</v>
      </c>
      <c r="K205" s="33">
        <f t="shared" si="23"/>
        <v>110</v>
      </c>
      <c r="L205" s="33">
        <f t="shared" si="23"/>
        <v>26.29</v>
      </c>
      <c r="M205" s="33">
        <f t="shared" si="23"/>
        <v>4.8699999999999992</v>
      </c>
      <c r="N205" s="33">
        <f t="shared" si="23"/>
        <v>1.47</v>
      </c>
      <c r="O205" s="34">
        <f t="shared" si="23"/>
        <v>161.80000000000001</v>
      </c>
    </row>
    <row r="206" spans="1:17" ht="13" thickBot="1" x14ac:dyDescent="0.8">
      <c r="A206" s="117"/>
      <c r="B206" s="15" t="s">
        <v>66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1"/>
    </row>
    <row r="207" spans="1:17" ht="13" thickBot="1" x14ac:dyDescent="0.8">
      <c r="A207" s="18"/>
      <c r="B207" s="36" t="s">
        <v>37</v>
      </c>
      <c r="C207" s="2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1"/>
    </row>
    <row r="208" spans="1:17" x14ac:dyDescent="0.65">
      <c r="A208" s="28">
        <v>302</v>
      </c>
      <c r="B208" s="55" t="s">
        <v>103</v>
      </c>
      <c r="C208" s="30">
        <v>250</v>
      </c>
      <c r="D208" s="30">
        <f>2.4/100*205</f>
        <v>4.92</v>
      </c>
      <c r="E208" s="30">
        <f>4.1/100*205</f>
        <v>8.4049999999999994</v>
      </c>
      <c r="F208" s="30">
        <f>15.2/100*205</f>
        <v>31.16</v>
      </c>
      <c r="G208" s="30">
        <f>111/100*205</f>
        <v>227.55</v>
      </c>
      <c r="H208" s="30">
        <v>0.08</v>
      </c>
      <c r="I208" s="30">
        <v>1.42</v>
      </c>
      <c r="J208" s="30">
        <v>0.08</v>
      </c>
      <c r="K208" s="30">
        <v>140.6</v>
      </c>
      <c r="L208" s="30">
        <v>23</v>
      </c>
      <c r="M208" s="30">
        <v>0.56000000000000005</v>
      </c>
      <c r="N208" s="30">
        <v>0.76</v>
      </c>
      <c r="O208" s="31">
        <v>136.4</v>
      </c>
    </row>
    <row r="209" spans="1:15" ht="13" thickBot="1" x14ac:dyDescent="0.8">
      <c r="A209" s="23">
        <v>685</v>
      </c>
      <c r="B209" s="49" t="s">
        <v>24</v>
      </c>
      <c r="C209" s="56">
        <v>250</v>
      </c>
      <c r="D209" s="56">
        <v>1.6</v>
      </c>
      <c r="E209" s="56">
        <v>1.6</v>
      </c>
      <c r="F209" s="56">
        <v>17.3</v>
      </c>
      <c r="G209" s="56">
        <v>87</v>
      </c>
      <c r="H209" s="56">
        <v>0.04</v>
      </c>
      <c r="I209" s="56">
        <v>1.3</v>
      </c>
      <c r="J209" s="56">
        <v>0.01</v>
      </c>
      <c r="K209" s="56">
        <v>127</v>
      </c>
      <c r="L209" s="56">
        <v>15</v>
      </c>
      <c r="M209" s="56">
        <v>0.4</v>
      </c>
      <c r="N209" s="56">
        <v>0</v>
      </c>
      <c r="O209" s="51">
        <v>93</v>
      </c>
    </row>
    <row r="210" spans="1:15" ht="13" thickBot="1" x14ac:dyDescent="0.8">
      <c r="A210" s="52"/>
      <c r="B210" s="53" t="s">
        <v>23</v>
      </c>
      <c r="C210" s="64">
        <f>SUM(C208:C209)</f>
        <v>500</v>
      </c>
      <c r="D210" s="64">
        <f t="shared" ref="D210:O210" si="24">SUM(D208:D209)</f>
        <v>6.52</v>
      </c>
      <c r="E210" s="64">
        <f t="shared" si="24"/>
        <v>10.004999999999999</v>
      </c>
      <c r="F210" s="64">
        <f t="shared" si="24"/>
        <v>48.46</v>
      </c>
      <c r="G210" s="64">
        <f t="shared" si="24"/>
        <v>314.55</v>
      </c>
      <c r="H210" s="64">
        <f t="shared" si="24"/>
        <v>0.12</v>
      </c>
      <c r="I210" s="64">
        <f t="shared" si="24"/>
        <v>2.7199999999999998</v>
      </c>
      <c r="J210" s="64">
        <f t="shared" si="24"/>
        <v>0.09</v>
      </c>
      <c r="K210" s="64">
        <f t="shared" si="24"/>
        <v>267.60000000000002</v>
      </c>
      <c r="L210" s="64">
        <f t="shared" si="24"/>
        <v>38</v>
      </c>
      <c r="M210" s="64">
        <f t="shared" si="24"/>
        <v>0.96000000000000008</v>
      </c>
      <c r="N210" s="64">
        <f t="shared" si="24"/>
        <v>0.76</v>
      </c>
      <c r="O210" s="128">
        <f t="shared" si="24"/>
        <v>229.4</v>
      </c>
    </row>
    <row r="211" spans="1:15" ht="13" thickBot="1" x14ac:dyDescent="0.8">
      <c r="A211" s="18"/>
      <c r="B211" s="36" t="s">
        <v>38</v>
      </c>
      <c r="C211" s="2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2"/>
    </row>
    <row r="212" spans="1:15" x14ac:dyDescent="0.65">
      <c r="A212" s="28">
        <v>302</v>
      </c>
      <c r="B212" s="55" t="s">
        <v>100</v>
      </c>
      <c r="C212" s="30">
        <v>250</v>
      </c>
      <c r="D212" s="30">
        <v>8.35</v>
      </c>
      <c r="E212" s="30">
        <v>11</v>
      </c>
      <c r="F212" s="30">
        <v>42.7</v>
      </c>
      <c r="G212" s="30">
        <v>310</v>
      </c>
      <c r="H212" s="30">
        <v>0.14000000000000001</v>
      </c>
      <c r="I212" s="30">
        <v>1.38</v>
      </c>
      <c r="J212" s="30">
        <v>8.4000000000000005E-2</v>
      </c>
      <c r="K212" s="30">
        <v>163.6</v>
      </c>
      <c r="L212" s="30">
        <v>50</v>
      </c>
      <c r="M212" s="30">
        <v>2.38</v>
      </c>
      <c r="N212" s="30">
        <v>0.24</v>
      </c>
      <c r="O212" s="31">
        <v>228.3</v>
      </c>
    </row>
    <row r="213" spans="1:15" x14ac:dyDescent="0.65">
      <c r="A213" s="28">
        <v>693</v>
      </c>
      <c r="B213" s="29" t="s">
        <v>120</v>
      </c>
      <c r="C213" s="30">
        <v>250</v>
      </c>
      <c r="D213" s="30">
        <v>4.9000000000000004</v>
      </c>
      <c r="E213" s="30">
        <v>5</v>
      </c>
      <c r="F213" s="30">
        <v>32.5</v>
      </c>
      <c r="G213" s="30">
        <v>190</v>
      </c>
      <c r="H213" s="30">
        <v>0.06</v>
      </c>
      <c r="I213" s="30">
        <v>1.7</v>
      </c>
      <c r="J213" s="30">
        <v>0.03</v>
      </c>
      <c r="K213" s="30">
        <v>163</v>
      </c>
      <c r="L213" s="30">
        <v>39</v>
      </c>
      <c r="M213" s="30">
        <v>1.3</v>
      </c>
      <c r="N213" s="30">
        <v>0</v>
      </c>
      <c r="O213" s="31">
        <v>150</v>
      </c>
    </row>
    <row r="214" spans="1:15" ht="13" thickBot="1" x14ac:dyDescent="0.8">
      <c r="A214" s="23"/>
      <c r="B214" s="49" t="s">
        <v>138</v>
      </c>
      <c r="C214" s="56">
        <v>50</v>
      </c>
      <c r="D214" s="56">
        <v>1</v>
      </c>
      <c r="E214" s="56">
        <v>0</v>
      </c>
      <c r="F214" s="56">
        <v>21</v>
      </c>
      <c r="G214" s="56">
        <v>133</v>
      </c>
      <c r="H214" s="56">
        <v>0.03</v>
      </c>
      <c r="I214" s="56">
        <v>0</v>
      </c>
      <c r="J214" s="56">
        <v>4.0000000000000001E-3</v>
      </c>
      <c r="K214" s="56">
        <v>11.6</v>
      </c>
      <c r="L214" s="56">
        <v>8</v>
      </c>
      <c r="M214" s="56">
        <v>0.84</v>
      </c>
      <c r="N214" s="56">
        <v>1.4</v>
      </c>
      <c r="O214" s="51">
        <v>36</v>
      </c>
    </row>
    <row r="215" spans="1:15" ht="13" thickBot="1" x14ac:dyDescent="0.8">
      <c r="A215" s="52"/>
      <c r="B215" s="53" t="s">
        <v>23</v>
      </c>
      <c r="C215" s="64">
        <f>SUM(C212:C214)</f>
        <v>550</v>
      </c>
      <c r="D215" s="64">
        <f t="shared" ref="D215:O215" si="25">SUM(D212:D214)</f>
        <v>14.25</v>
      </c>
      <c r="E215" s="64">
        <f t="shared" si="25"/>
        <v>16</v>
      </c>
      <c r="F215" s="64">
        <f t="shared" si="25"/>
        <v>96.2</v>
      </c>
      <c r="G215" s="64">
        <f t="shared" si="25"/>
        <v>633</v>
      </c>
      <c r="H215" s="64">
        <f t="shared" si="25"/>
        <v>0.23</v>
      </c>
      <c r="I215" s="64">
        <f t="shared" si="25"/>
        <v>3.08</v>
      </c>
      <c r="J215" s="64">
        <f t="shared" si="25"/>
        <v>0.11800000000000001</v>
      </c>
      <c r="K215" s="64">
        <f t="shared" si="25"/>
        <v>338.20000000000005</v>
      </c>
      <c r="L215" s="64">
        <f t="shared" si="25"/>
        <v>97</v>
      </c>
      <c r="M215" s="64">
        <f t="shared" si="25"/>
        <v>4.5199999999999996</v>
      </c>
      <c r="N215" s="64">
        <f t="shared" si="25"/>
        <v>1.64</v>
      </c>
      <c r="O215" s="128">
        <f t="shared" si="25"/>
        <v>414.3</v>
      </c>
    </row>
    <row r="216" spans="1:15" ht="13" thickBot="1" x14ac:dyDescent="0.8">
      <c r="A216" s="18"/>
      <c r="B216" s="36" t="s">
        <v>39</v>
      </c>
      <c r="C216" s="2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2"/>
    </row>
    <row r="217" spans="1:15" x14ac:dyDescent="0.65">
      <c r="A217" s="28">
        <v>43</v>
      </c>
      <c r="B217" s="55" t="s">
        <v>87</v>
      </c>
      <c r="C217" s="30">
        <v>100</v>
      </c>
      <c r="D217" s="30">
        <v>1.4</v>
      </c>
      <c r="E217" s="30">
        <v>5.0999999999999996</v>
      </c>
      <c r="F217" s="30">
        <v>8.9</v>
      </c>
      <c r="G217" s="30">
        <v>88</v>
      </c>
      <c r="H217" s="30">
        <v>0.02</v>
      </c>
      <c r="I217" s="30">
        <v>19.47</v>
      </c>
      <c r="J217" s="30">
        <v>0</v>
      </c>
      <c r="K217" s="30">
        <v>22.42</v>
      </c>
      <c r="L217" s="30">
        <v>9.1</v>
      </c>
      <c r="M217" s="30">
        <v>0.31</v>
      </c>
      <c r="N217" s="30">
        <v>0</v>
      </c>
      <c r="O217" s="31">
        <v>16.57</v>
      </c>
    </row>
    <row r="218" spans="1:15" x14ac:dyDescent="0.65">
      <c r="A218" s="28">
        <v>124</v>
      </c>
      <c r="B218" s="29" t="s">
        <v>108</v>
      </c>
      <c r="C218" s="30">
        <v>250</v>
      </c>
      <c r="D218" s="30">
        <v>2</v>
      </c>
      <c r="E218" s="30">
        <v>4.3</v>
      </c>
      <c r="F218" s="30">
        <v>10</v>
      </c>
      <c r="G218" s="30">
        <v>88</v>
      </c>
      <c r="H218" s="30">
        <v>0.1</v>
      </c>
      <c r="I218" s="30">
        <v>7.54</v>
      </c>
      <c r="J218" s="30">
        <v>0</v>
      </c>
      <c r="K218" s="30">
        <v>0</v>
      </c>
      <c r="L218" s="30">
        <v>25.9</v>
      </c>
      <c r="M218" s="30">
        <v>26.45</v>
      </c>
      <c r="N218" s="30">
        <v>71.95</v>
      </c>
      <c r="O218" s="31">
        <v>0.98</v>
      </c>
    </row>
    <row r="219" spans="1:15" x14ac:dyDescent="0.65">
      <c r="A219" s="28">
        <v>332</v>
      </c>
      <c r="B219" s="29" t="s">
        <v>97</v>
      </c>
      <c r="C219" s="30">
        <v>180</v>
      </c>
      <c r="D219" s="30">
        <v>5.25</v>
      </c>
      <c r="E219" s="30">
        <v>6.15</v>
      </c>
      <c r="F219" s="30">
        <v>35.200000000000003</v>
      </c>
      <c r="G219" s="30">
        <v>220</v>
      </c>
      <c r="H219" s="30">
        <v>0.14000000000000001</v>
      </c>
      <c r="I219" s="30">
        <v>18.170000000000002</v>
      </c>
      <c r="J219" s="30">
        <v>25.5</v>
      </c>
      <c r="K219" s="30">
        <v>0</v>
      </c>
      <c r="L219" s="30">
        <v>27.75</v>
      </c>
      <c r="M219" s="30">
        <v>36.979999999999997</v>
      </c>
      <c r="N219" s="30">
        <v>86.6</v>
      </c>
      <c r="O219" s="31">
        <v>1.01</v>
      </c>
    </row>
    <row r="220" spans="1:15" x14ac:dyDescent="0.65">
      <c r="A220" s="28">
        <v>498</v>
      </c>
      <c r="B220" s="29" t="s">
        <v>132</v>
      </c>
      <c r="C220" s="30">
        <v>100</v>
      </c>
      <c r="D220" s="30">
        <v>9.3000000000000007</v>
      </c>
      <c r="E220" s="30">
        <v>6.7</v>
      </c>
      <c r="F220" s="30">
        <v>9.1</v>
      </c>
      <c r="G220" s="30">
        <v>135</v>
      </c>
      <c r="H220" s="30">
        <v>0.09</v>
      </c>
      <c r="I220" s="30">
        <v>0</v>
      </c>
      <c r="J220" s="30">
        <v>0.04</v>
      </c>
      <c r="K220" s="30">
        <v>39</v>
      </c>
      <c r="L220" s="30">
        <v>26</v>
      </c>
      <c r="M220" s="30">
        <v>2.8</v>
      </c>
      <c r="N220" s="30">
        <v>0.5</v>
      </c>
      <c r="O220" s="31">
        <v>185</v>
      </c>
    </row>
    <row r="221" spans="1:15" x14ac:dyDescent="0.65">
      <c r="A221" s="28">
        <v>638</v>
      </c>
      <c r="B221" s="29" t="s">
        <v>110</v>
      </c>
      <c r="C221" s="30">
        <v>200</v>
      </c>
      <c r="D221" s="30">
        <v>0.6</v>
      </c>
      <c r="E221" s="30">
        <v>0</v>
      </c>
      <c r="F221" s="30">
        <f>23.3*2</f>
        <v>46.6</v>
      </c>
      <c r="G221" s="30">
        <f>91*2</f>
        <v>182</v>
      </c>
      <c r="H221" s="30">
        <v>0.01</v>
      </c>
      <c r="I221" s="30">
        <v>2.1</v>
      </c>
      <c r="J221" s="30">
        <v>0</v>
      </c>
      <c r="K221" s="30">
        <v>11</v>
      </c>
      <c r="L221" s="30">
        <v>7</v>
      </c>
      <c r="M221" s="30">
        <v>0.7</v>
      </c>
      <c r="N221" s="30">
        <v>0.1</v>
      </c>
      <c r="O221" s="31">
        <v>8</v>
      </c>
    </row>
    <row r="222" spans="1:15" ht="13" thickBot="1" x14ac:dyDescent="0.8">
      <c r="A222" s="23"/>
      <c r="B222" s="49" t="s">
        <v>27</v>
      </c>
      <c r="C222" s="56">
        <v>60</v>
      </c>
      <c r="D222" s="56">
        <v>6</v>
      </c>
      <c r="E222" s="56">
        <v>2</v>
      </c>
      <c r="F222" s="56">
        <v>4</v>
      </c>
      <c r="G222" s="56">
        <v>44</v>
      </c>
      <c r="H222" s="56">
        <v>0.05</v>
      </c>
      <c r="I222" s="56">
        <v>0</v>
      </c>
      <c r="J222" s="56">
        <v>0</v>
      </c>
      <c r="K222" s="56">
        <v>10.5</v>
      </c>
      <c r="L222" s="56">
        <v>14</v>
      </c>
      <c r="M222" s="56">
        <v>1.17</v>
      </c>
      <c r="N222" s="56">
        <v>0.42</v>
      </c>
      <c r="O222" s="51">
        <v>47.4</v>
      </c>
    </row>
    <row r="223" spans="1:15" ht="13" thickBot="1" x14ac:dyDescent="0.8">
      <c r="A223" s="52"/>
      <c r="B223" s="53" t="s">
        <v>23</v>
      </c>
      <c r="C223" s="64">
        <f>SUM(C217:C222)</f>
        <v>890</v>
      </c>
      <c r="D223" s="64">
        <v>6</v>
      </c>
      <c r="E223" s="64">
        <f t="shared" ref="E223:O223" si="26">SUM(E217:E222)</f>
        <v>24.25</v>
      </c>
      <c r="F223" s="64">
        <f t="shared" si="26"/>
        <v>113.80000000000001</v>
      </c>
      <c r="G223" s="64">
        <f t="shared" si="26"/>
        <v>757</v>
      </c>
      <c r="H223" s="64">
        <f t="shared" si="26"/>
        <v>0.41</v>
      </c>
      <c r="I223" s="64">
        <f t="shared" si="26"/>
        <v>47.28</v>
      </c>
      <c r="J223" s="64">
        <f t="shared" si="26"/>
        <v>25.54</v>
      </c>
      <c r="K223" s="64">
        <f t="shared" si="26"/>
        <v>82.92</v>
      </c>
      <c r="L223" s="64">
        <f t="shared" si="26"/>
        <v>109.75</v>
      </c>
      <c r="M223" s="64">
        <f t="shared" si="26"/>
        <v>68.41</v>
      </c>
      <c r="N223" s="64">
        <f t="shared" si="26"/>
        <v>159.57</v>
      </c>
      <c r="O223" s="128">
        <f t="shared" si="26"/>
        <v>258.95999999999998</v>
      </c>
    </row>
    <row r="224" spans="1:15" ht="13" thickBot="1" x14ac:dyDescent="0.8">
      <c r="A224" s="123"/>
      <c r="B224" s="36" t="s">
        <v>40</v>
      </c>
      <c r="C224" s="129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95"/>
    </row>
    <row r="225" spans="1:15" x14ac:dyDescent="0.65">
      <c r="A225" s="28">
        <v>124</v>
      </c>
      <c r="B225" s="55" t="s">
        <v>108</v>
      </c>
      <c r="C225" s="30">
        <v>200</v>
      </c>
      <c r="D225" s="30">
        <v>2</v>
      </c>
      <c r="E225" s="30">
        <v>4.3</v>
      </c>
      <c r="F225" s="30">
        <v>10</v>
      </c>
      <c r="G225" s="30">
        <v>88</v>
      </c>
      <c r="H225" s="30">
        <v>0.05</v>
      </c>
      <c r="I225" s="30">
        <v>9.9499999999999993</v>
      </c>
      <c r="J225" s="30">
        <v>0</v>
      </c>
      <c r="K225" s="30">
        <v>36.200000000000003</v>
      </c>
      <c r="L225" s="30">
        <v>19.5</v>
      </c>
      <c r="M225" s="30">
        <v>0.72</v>
      </c>
      <c r="N225" s="30">
        <v>2.4</v>
      </c>
      <c r="O225" s="31">
        <v>87</v>
      </c>
    </row>
    <row r="226" spans="1:15" x14ac:dyDescent="0.65">
      <c r="A226" s="28">
        <v>332</v>
      </c>
      <c r="B226" s="29" t="s">
        <v>97</v>
      </c>
      <c r="C226" s="30">
        <v>150</v>
      </c>
      <c r="D226" s="30">
        <v>5.25</v>
      </c>
      <c r="E226" s="30">
        <v>6.15</v>
      </c>
      <c r="F226" s="30">
        <v>35.200000000000003</v>
      </c>
      <c r="G226" s="30">
        <v>94.5</v>
      </c>
      <c r="H226" s="30">
        <v>0.06</v>
      </c>
      <c r="I226" s="30">
        <v>25.5</v>
      </c>
      <c r="J226" s="30">
        <v>0.04</v>
      </c>
      <c r="K226" s="30">
        <v>91.5</v>
      </c>
      <c r="L226" s="30">
        <v>36</v>
      </c>
      <c r="M226" s="30">
        <v>1.5</v>
      </c>
      <c r="N226" s="30">
        <v>1.05</v>
      </c>
      <c r="O226" s="31">
        <v>82.5</v>
      </c>
    </row>
    <row r="227" spans="1:15" x14ac:dyDescent="0.65">
      <c r="A227" s="28">
        <v>498</v>
      </c>
      <c r="B227" s="29" t="s">
        <v>109</v>
      </c>
      <c r="C227" s="30">
        <v>90</v>
      </c>
      <c r="D227" s="30">
        <v>9.3000000000000007</v>
      </c>
      <c r="E227" s="30">
        <v>6.7</v>
      </c>
      <c r="F227" s="30">
        <v>9.1</v>
      </c>
      <c r="G227" s="30">
        <v>135</v>
      </c>
      <c r="H227" s="30">
        <v>0.08</v>
      </c>
      <c r="I227" s="30">
        <v>0.61</v>
      </c>
      <c r="J227" s="30">
        <v>8</v>
      </c>
      <c r="K227" s="30">
        <v>0</v>
      </c>
      <c r="L227" s="30">
        <v>14</v>
      </c>
      <c r="M227" s="30">
        <v>15.4</v>
      </c>
      <c r="N227" s="30">
        <v>170.2</v>
      </c>
      <c r="O227" s="31">
        <v>0.62</v>
      </c>
    </row>
    <row r="228" spans="1:15" x14ac:dyDescent="0.65">
      <c r="A228" s="28">
        <v>701</v>
      </c>
      <c r="B228" s="29" t="s">
        <v>76</v>
      </c>
      <c r="C228" s="30">
        <v>200</v>
      </c>
      <c r="D228" s="30">
        <v>0.4</v>
      </c>
      <c r="E228" s="30">
        <v>0</v>
      </c>
      <c r="F228" s="30">
        <f>16.5*2</f>
        <v>33</v>
      </c>
      <c r="G228" s="30">
        <f>69*2</f>
        <v>138</v>
      </c>
      <c r="H228" s="30">
        <v>0.01</v>
      </c>
      <c r="I228" s="30">
        <v>2.1</v>
      </c>
      <c r="J228" s="30">
        <v>0</v>
      </c>
      <c r="K228" s="30">
        <v>11</v>
      </c>
      <c r="L228" s="30">
        <v>7</v>
      </c>
      <c r="M228" s="30">
        <v>0.7</v>
      </c>
      <c r="N228" s="30">
        <v>0.1</v>
      </c>
      <c r="O228" s="31">
        <v>8</v>
      </c>
    </row>
    <row r="229" spans="1:15" x14ac:dyDescent="0.65">
      <c r="A229" s="28"/>
      <c r="B229" s="29" t="s">
        <v>27</v>
      </c>
      <c r="C229" s="30">
        <v>40</v>
      </c>
      <c r="D229" s="30">
        <v>3.04</v>
      </c>
      <c r="E229" s="30">
        <v>0.48</v>
      </c>
      <c r="F229" s="30">
        <v>16.68</v>
      </c>
      <c r="G229" s="30">
        <v>85.2</v>
      </c>
      <c r="H229" s="30">
        <v>0.05</v>
      </c>
      <c r="I229" s="30">
        <v>0</v>
      </c>
      <c r="J229" s="30">
        <v>0</v>
      </c>
      <c r="K229" s="30">
        <v>10.5</v>
      </c>
      <c r="L229" s="30">
        <v>14</v>
      </c>
      <c r="M229" s="30">
        <v>1.17</v>
      </c>
      <c r="N229" s="30">
        <v>0.42</v>
      </c>
      <c r="O229" s="31">
        <v>47.4</v>
      </c>
    </row>
    <row r="230" spans="1:15" ht="13" thickBot="1" x14ac:dyDescent="0.8">
      <c r="A230" s="23"/>
      <c r="B230" s="49" t="s">
        <v>53</v>
      </c>
      <c r="C230" s="56">
        <v>50</v>
      </c>
      <c r="D230" s="56">
        <v>4.8</v>
      </c>
      <c r="E230" s="56">
        <v>2</v>
      </c>
      <c r="F230" s="56">
        <v>23.5</v>
      </c>
      <c r="G230" s="56">
        <v>171</v>
      </c>
      <c r="H230" s="56">
        <v>0.06</v>
      </c>
      <c r="I230" s="56">
        <v>0</v>
      </c>
      <c r="J230" s="56">
        <v>0.01</v>
      </c>
      <c r="K230" s="56">
        <v>9</v>
      </c>
      <c r="L230" s="56">
        <v>7</v>
      </c>
      <c r="M230" s="56">
        <v>0.5</v>
      </c>
      <c r="N230" s="56">
        <v>0.9</v>
      </c>
      <c r="O230" s="51">
        <v>36</v>
      </c>
    </row>
    <row r="231" spans="1:15" ht="13" thickBot="1" x14ac:dyDescent="0.8">
      <c r="A231" s="119"/>
      <c r="B231" s="53" t="s">
        <v>23</v>
      </c>
      <c r="C231" s="64">
        <f>SUM(C225:C230)</f>
        <v>730</v>
      </c>
      <c r="D231" s="64">
        <f t="shared" ref="D231:O231" si="27">SUM(D225:D230)</f>
        <v>24.79</v>
      </c>
      <c r="E231" s="64">
        <f t="shared" si="27"/>
        <v>19.63</v>
      </c>
      <c r="F231" s="64">
        <f t="shared" si="27"/>
        <v>127.48000000000002</v>
      </c>
      <c r="G231" s="64">
        <f t="shared" si="27"/>
        <v>711.7</v>
      </c>
      <c r="H231" s="64">
        <f t="shared" si="27"/>
        <v>0.31</v>
      </c>
      <c r="I231" s="64">
        <f t="shared" si="27"/>
        <v>38.160000000000004</v>
      </c>
      <c r="J231" s="64">
        <f t="shared" si="27"/>
        <v>8.0499999999999989</v>
      </c>
      <c r="K231" s="64">
        <f t="shared" si="27"/>
        <v>158.19999999999999</v>
      </c>
      <c r="L231" s="64">
        <f t="shared" si="27"/>
        <v>97.5</v>
      </c>
      <c r="M231" s="64">
        <f t="shared" si="27"/>
        <v>19.990000000000002</v>
      </c>
      <c r="N231" s="64">
        <f t="shared" si="27"/>
        <v>175.06999999999996</v>
      </c>
      <c r="O231" s="128">
        <f t="shared" si="27"/>
        <v>261.52</v>
      </c>
    </row>
    <row r="232" spans="1:15" ht="13" thickBot="1" x14ac:dyDescent="0.8">
      <c r="A232" s="18"/>
      <c r="B232" s="130" t="s">
        <v>43</v>
      </c>
      <c r="C232" s="2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2"/>
    </row>
    <row r="233" spans="1:15" x14ac:dyDescent="0.65">
      <c r="A233" s="28">
        <v>214</v>
      </c>
      <c r="B233" s="55" t="s">
        <v>32</v>
      </c>
      <c r="C233" s="30">
        <v>180</v>
      </c>
      <c r="D233" s="30">
        <v>4.5</v>
      </c>
      <c r="E233" s="30">
        <v>8.2799999999999994</v>
      </c>
      <c r="F233" s="30">
        <v>19.2</v>
      </c>
      <c r="G233" s="30">
        <v>168</v>
      </c>
      <c r="H233" s="30">
        <v>0.06</v>
      </c>
      <c r="I233" s="30">
        <v>25.5</v>
      </c>
      <c r="J233" s="30">
        <v>0.04</v>
      </c>
      <c r="K233" s="30">
        <v>91.5</v>
      </c>
      <c r="L233" s="30">
        <v>36</v>
      </c>
      <c r="M233" s="30">
        <v>1.5</v>
      </c>
      <c r="N233" s="30">
        <v>1.05</v>
      </c>
      <c r="O233" s="31">
        <v>82.5</v>
      </c>
    </row>
    <row r="234" spans="1:15" x14ac:dyDescent="0.65">
      <c r="A234" s="28">
        <v>498</v>
      </c>
      <c r="B234" s="29" t="s">
        <v>52</v>
      </c>
      <c r="C234" s="30">
        <v>100</v>
      </c>
      <c r="D234" s="30">
        <v>10.5</v>
      </c>
      <c r="E234" s="30">
        <v>7.5</v>
      </c>
      <c r="F234" s="30">
        <v>6.5</v>
      </c>
      <c r="G234" s="30">
        <v>132</v>
      </c>
      <c r="H234" s="30">
        <v>0.08</v>
      </c>
      <c r="I234" s="30">
        <v>0.68</v>
      </c>
      <c r="J234" s="30">
        <v>0.03</v>
      </c>
      <c r="K234" s="30">
        <v>29.7</v>
      </c>
      <c r="L234" s="30">
        <v>14.8</v>
      </c>
      <c r="M234" s="30">
        <v>0.9</v>
      </c>
      <c r="N234" s="30">
        <v>0.32</v>
      </c>
      <c r="O234" s="31">
        <v>75.36</v>
      </c>
    </row>
    <row r="235" spans="1:15" x14ac:dyDescent="0.65">
      <c r="A235" s="28">
        <v>685</v>
      </c>
      <c r="B235" s="29" t="s">
        <v>24</v>
      </c>
      <c r="C235" s="30">
        <v>250</v>
      </c>
      <c r="D235" s="30">
        <v>0.2</v>
      </c>
      <c r="E235" s="30">
        <v>0</v>
      </c>
      <c r="F235" s="30">
        <v>0</v>
      </c>
      <c r="G235" s="30">
        <v>4.5999999999999996</v>
      </c>
      <c r="H235" s="30">
        <v>0.02</v>
      </c>
      <c r="I235" s="30">
        <v>4</v>
      </c>
      <c r="J235" s="30">
        <v>0</v>
      </c>
      <c r="K235" s="30">
        <v>20</v>
      </c>
      <c r="L235" s="30">
        <v>0</v>
      </c>
      <c r="M235" s="30">
        <v>0.2</v>
      </c>
      <c r="N235" s="30">
        <v>0</v>
      </c>
      <c r="O235" s="31">
        <v>0</v>
      </c>
    </row>
    <row r="236" spans="1:15" ht="13" thickBot="1" x14ac:dyDescent="0.8">
      <c r="A236" s="23"/>
      <c r="B236" s="49" t="s">
        <v>27</v>
      </c>
      <c r="C236" s="56">
        <v>40</v>
      </c>
      <c r="D236" s="56">
        <v>3.04</v>
      </c>
      <c r="E236" s="56">
        <v>0.48</v>
      </c>
      <c r="F236" s="56">
        <v>16.68</v>
      </c>
      <c r="G236" s="56">
        <v>85.2</v>
      </c>
      <c r="H236" s="56">
        <v>0.05</v>
      </c>
      <c r="I236" s="56">
        <v>0</v>
      </c>
      <c r="J236" s="56">
        <v>0</v>
      </c>
      <c r="K236" s="56">
        <v>10.5</v>
      </c>
      <c r="L236" s="56">
        <v>14</v>
      </c>
      <c r="M236" s="56">
        <v>1.17</v>
      </c>
      <c r="N236" s="56">
        <v>0.42</v>
      </c>
      <c r="O236" s="51">
        <v>47.4</v>
      </c>
    </row>
    <row r="237" spans="1:15" ht="13" thickBot="1" x14ac:dyDescent="0.8">
      <c r="A237" s="52"/>
      <c r="B237" s="53" t="s">
        <v>23</v>
      </c>
      <c r="C237" s="64">
        <f>SUM(C233:C236)</f>
        <v>570</v>
      </c>
      <c r="D237" s="64">
        <f t="shared" ref="D237:O237" si="28">SUM(D233:D236)</f>
        <v>18.239999999999998</v>
      </c>
      <c r="E237" s="64">
        <f t="shared" si="28"/>
        <v>16.259999999999998</v>
      </c>
      <c r="F237" s="64">
        <f t="shared" si="28"/>
        <v>42.379999999999995</v>
      </c>
      <c r="G237" s="64">
        <f t="shared" si="28"/>
        <v>389.8</v>
      </c>
      <c r="H237" s="64">
        <f t="shared" si="28"/>
        <v>0.21000000000000002</v>
      </c>
      <c r="I237" s="64">
        <f t="shared" si="28"/>
        <v>30.18</v>
      </c>
      <c r="J237" s="64">
        <f t="shared" si="28"/>
        <v>7.0000000000000007E-2</v>
      </c>
      <c r="K237" s="64">
        <f t="shared" si="28"/>
        <v>151.69999999999999</v>
      </c>
      <c r="L237" s="64">
        <f t="shared" si="28"/>
        <v>64.8</v>
      </c>
      <c r="M237" s="64">
        <f t="shared" si="28"/>
        <v>3.77</v>
      </c>
      <c r="N237" s="64">
        <f t="shared" si="28"/>
        <v>1.79</v>
      </c>
      <c r="O237" s="128">
        <f t="shared" si="28"/>
        <v>205.26000000000002</v>
      </c>
    </row>
    <row r="238" spans="1:15" ht="13" thickBot="1" x14ac:dyDescent="0.8">
      <c r="A238" s="88"/>
      <c r="B238" s="131" t="s">
        <v>67</v>
      </c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1"/>
    </row>
    <row r="239" spans="1:15" ht="13" thickBot="1" x14ac:dyDescent="0.8">
      <c r="A239" s="93"/>
      <c r="B239" s="36" t="s">
        <v>37</v>
      </c>
      <c r="C239" s="94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1"/>
    </row>
    <row r="240" spans="1:15" x14ac:dyDescent="0.65">
      <c r="A240" s="28">
        <v>302</v>
      </c>
      <c r="B240" s="55" t="s">
        <v>133</v>
      </c>
      <c r="C240" s="30">
        <v>250</v>
      </c>
      <c r="D240" s="30">
        <f>1.5/100*205</f>
        <v>3.0749999999999997</v>
      </c>
      <c r="E240" s="30">
        <f>4/100*205</f>
        <v>8.1999999999999993</v>
      </c>
      <c r="F240" s="30">
        <f>15.8/100*205</f>
        <v>32.39</v>
      </c>
      <c r="G240" s="30">
        <f>109/100*205</f>
        <v>223.45000000000002</v>
      </c>
      <c r="H240" s="30">
        <v>0.03</v>
      </c>
      <c r="I240" s="30">
        <v>0</v>
      </c>
      <c r="J240" s="30">
        <v>20</v>
      </c>
      <c r="K240" s="30">
        <v>5.9</v>
      </c>
      <c r="L240" s="30">
        <v>21.8</v>
      </c>
      <c r="M240" s="30">
        <v>0.47</v>
      </c>
      <c r="N240" s="30">
        <v>0</v>
      </c>
      <c r="O240" s="31">
        <v>67</v>
      </c>
    </row>
    <row r="241" spans="1:15" ht="13" thickBot="1" x14ac:dyDescent="0.8">
      <c r="A241" s="23">
        <v>707</v>
      </c>
      <c r="B241" s="49" t="s">
        <v>50</v>
      </c>
      <c r="C241" s="56">
        <v>250</v>
      </c>
      <c r="D241" s="56">
        <v>1</v>
      </c>
      <c r="E241" s="56">
        <v>0</v>
      </c>
      <c r="F241" s="56">
        <f>10.6*2</f>
        <v>21.2</v>
      </c>
      <c r="G241" s="56">
        <f>44*2</f>
        <v>88</v>
      </c>
      <c r="H241" s="56">
        <v>0.02</v>
      </c>
      <c r="I241" s="56">
        <v>4</v>
      </c>
      <c r="J241" s="56">
        <v>0</v>
      </c>
      <c r="K241" s="56">
        <v>14</v>
      </c>
      <c r="L241" s="56">
        <v>0</v>
      </c>
      <c r="M241" s="56">
        <v>2.8</v>
      </c>
      <c r="N241" s="56">
        <v>0</v>
      </c>
      <c r="O241" s="51">
        <v>0</v>
      </c>
    </row>
    <row r="242" spans="1:15" ht="13" thickBot="1" x14ac:dyDescent="0.8">
      <c r="A242" s="52"/>
      <c r="B242" s="53" t="s">
        <v>23</v>
      </c>
      <c r="C242" s="64">
        <f>SUM(C240:C241)</f>
        <v>500</v>
      </c>
      <c r="D242" s="64">
        <f t="shared" ref="D242:O242" si="29">SUM(D240:D241)</f>
        <v>4.0749999999999993</v>
      </c>
      <c r="E242" s="64">
        <f t="shared" si="29"/>
        <v>8.1999999999999993</v>
      </c>
      <c r="F242" s="64">
        <f t="shared" si="29"/>
        <v>53.59</v>
      </c>
      <c r="G242" s="64">
        <f t="shared" si="29"/>
        <v>311.45000000000005</v>
      </c>
      <c r="H242" s="64">
        <f t="shared" si="29"/>
        <v>0.05</v>
      </c>
      <c r="I242" s="64">
        <f t="shared" si="29"/>
        <v>4</v>
      </c>
      <c r="J242" s="64">
        <f t="shared" si="29"/>
        <v>20</v>
      </c>
      <c r="K242" s="64">
        <f t="shared" si="29"/>
        <v>19.899999999999999</v>
      </c>
      <c r="L242" s="64">
        <f t="shared" si="29"/>
        <v>21.8</v>
      </c>
      <c r="M242" s="64">
        <f t="shared" si="29"/>
        <v>3.2699999999999996</v>
      </c>
      <c r="N242" s="64">
        <f t="shared" si="29"/>
        <v>0</v>
      </c>
      <c r="O242" s="128">
        <f t="shared" si="29"/>
        <v>67</v>
      </c>
    </row>
    <row r="243" spans="1:15" ht="13" thickBot="1" x14ac:dyDescent="0.8">
      <c r="A243" s="18"/>
      <c r="B243" s="36" t="s">
        <v>38</v>
      </c>
      <c r="C243" s="20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2"/>
    </row>
    <row r="244" spans="1:15" x14ac:dyDescent="0.65">
      <c r="A244" s="28">
        <v>366</v>
      </c>
      <c r="B244" s="55" t="s">
        <v>134</v>
      </c>
      <c r="C244" s="30">
        <v>250</v>
      </c>
      <c r="D244" s="30">
        <v>15</v>
      </c>
      <c r="E244" s="30">
        <v>13.3</v>
      </c>
      <c r="F244" s="30">
        <v>13.7</v>
      </c>
      <c r="G244" s="30">
        <v>361</v>
      </c>
      <c r="H244" s="30">
        <v>0.12</v>
      </c>
      <c r="I244" s="30">
        <v>16.2</v>
      </c>
      <c r="J244" s="30">
        <v>21.3</v>
      </c>
      <c r="K244" s="30">
        <v>0</v>
      </c>
      <c r="L244" s="30">
        <v>21.6</v>
      </c>
      <c r="M244" s="30">
        <v>29.7</v>
      </c>
      <c r="N244" s="30">
        <v>72.599999999999994</v>
      </c>
      <c r="O244" s="31">
        <v>0.7</v>
      </c>
    </row>
    <row r="245" spans="1:15" x14ac:dyDescent="0.65">
      <c r="A245" s="28"/>
      <c r="B245" s="29" t="s">
        <v>139</v>
      </c>
      <c r="C245" s="30">
        <v>40</v>
      </c>
      <c r="D245" s="30">
        <v>3</v>
      </c>
      <c r="E245" s="30">
        <v>1</v>
      </c>
      <c r="F245" s="30">
        <v>2</v>
      </c>
      <c r="G245" s="30">
        <v>22</v>
      </c>
      <c r="H245" s="30">
        <v>0.03</v>
      </c>
      <c r="I245" s="30">
        <v>0</v>
      </c>
      <c r="J245" s="30">
        <v>0</v>
      </c>
      <c r="K245" s="30">
        <v>19.2</v>
      </c>
      <c r="L245" s="30">
        <v>16</v>
      </c>
      <c r="M245" s="30">
        <v>0</v>
      </c>
      <c r="N245" s="30">
        <v>0</v>
      </c>
      <c r="O245" s="31">
        <v>127.2</v>
      </c>
    </row>
    <row r="246" spans="1:15" x14ac:dyDescent="0.65">
      <c r="A246" s="28">
        <v>705</v>
      </c>
      <c r="B246" s="29" t="s">
        <v>77</v>
      </c>
      <c r="C246" s="30">
        <v>250</v>
      </c>
      <c r="D246" s="30">
        <v>6.8</v>
      </c>
      <c r="E246" s="30">
        <v>2.8</v>
      </c>
      <c r="F246" s="30">
        <v>20.8</v>
      </c>
      <c r="G246" s="30">
        <v>88.2</v>
      </c>
      <c r="H246" s="30">
        <v>0.04</v>
      </c>
      <c r="I246" s="30">
        <v>1.3</v>
      </c>
      <c r="J246" s="30">
        <v>0.02</v>
      </c>
      <c r="K246" s="30">
        <v>126</v>
      </c>
      <c r="L246" s="30">
        <v>14</v>
      </c>
      <c r="M246" s="30">
        <v>0.1</v>
      </c>
      <c r="N246" s="30">
        <v>0</v>
      </c>
      <c r="O246" s="31">
        <v>90</v>
      </c>
    </row>
    <row r="247" spans="1:15" ht="13" thickBot="1" x14ac:dyDescent="0.8">
      <c r="A247" s="23"/>
      <c r="B247" s="49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1"/>
    </row>
    <row r="248" spans="1:15" ht="13" thickBot="1" x14ac:dyDescent="0.8">
      <c r="A248" s="52"/>
      <c r="B248" s="53" t="s">
        <v>23</v>
      </c>
      <c r="C248" s="64">
        <f>SUM(C244:C247)</f>
        <v>540</v>
      </c>
      <c r="D248" s="64">
        <f t="shared" ref="D248:O248" si="30">SUM(D244:D247)</f>
        <v>24.8</v>
      </c>
      <c r="E248" s="64">
        <f t="shared" si="30"/>
        <v>17.100000000000001</v>
      </c>
      <c r="F248" s="64">
        <f t="shared" si="30"/>
        <v>36.5</v>
      </c>
      <c r="G248" s="64">
        <f t="shared" si="30"/>
        <v>471.2</v>
      </c>
      <c r="H248" s="64">
        <f t="shared" si="30"/>
        <v>0.19</v>
      </c>
      <c r="I248" s="64">
        <f t="shared" si="30"/>
        <v>17.5</v>
      </c>
      <c r="J248" s="64">
        <f t="shared" si="30"/>
        <v>21.32</v>
      </c>
      <c r="K248" s="64">
        <f t="shared" si="30"/>
        <v>145.19999999999999</v>
      </c>
      <c r="L248" s="64">
        <f t="shared" si="30"/>
        <v>51.6</v>
      </c>
      <c r="M248" s="64">
        <f t="shared" si="30"/>
        <v>29.8</v>
      </c>
      <c r="N248" s="64">
        <f t="shared" si="30"/>
        <v>72.599999999999994</v>
      </c>
      <c r="O248" s="128">
        <f t="shared" si="30"/>
        <v>217.9</v>
      </c>
    </row>
    <row r="249" spans="1:15" ht="13" thickBot="1" x14ac:dyDescent="0.8">
      <c r="A249" s="18"/>
      <c r="B249" s="36" t="s">
        <v>39</v>
      </c>
      <c r="C249" s="2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2"/>
    </row>
    <row r="250" spans="1:15" x14ac:dyDescent="0.65">
      <c r="A250" s="28">
        <v>25</v>
      </c>
      <c r="B250" s="55" t="s">
        <v>74</v>
      </c>
      <c r="C250" s="30">
        <v>100</v>
      </c>
      <c r="D250" s="30">
        <v>1.25</v>
      </c>
      <c r="E250" s="30">
        <v>2.4300000000000002</v>
      </c>
      <c r="F250" s="30">
        <v>3.89</v>
      </c>
      <c r="G250" s="30">
        <v>49</v>
      </c>
      <c r="H250" s="30">
        <v>0.1</v>
      </c>
      <c r="I250" s="30">
        <v>5.7</v>
      </c>
      <c r="J250" s="30">
        <v>0</v>
      </c>
      <c r="K250" s="30">
        <v>0</v>
      </c>
      <c r="L250" s="30">
        <v>12.54</v>
      </c>
      <c r="M250" s="30">
        <v>21.09</v>
      </c>
      <c r="N250" s="30">
        <v>24.58</v>
      </c>
      <c r="O250" s="31">
        <v>0.8</v>
      </c>
    </row>
    <row r="251" spans="1:15" x14ac:dyDescent="0.65">
      <c r="A251" s="28">
        <v>132</v>
      </c>
      <c r="B251" s="29" t="s">
        <v>47</v>
      </c>
      <c r="C251" s="30">
        <v>250</v>
      </c>
      <c r="D251" s="30">
        <v>3</v>
      </c>
      <c r="E251" s="30">
        <v>4.5</v>
      </c>
      <c r="F251" s="30">
        <v>20.100000000000001</v>
      </c>
      <c r="G251" s="30">
        <v>135</v>
      </c>
      <c r="H251" s="30">
        <v>0.06</v>
      </c>
      <c r="I251" s="30">
        <v>18.46</v>
      </c>
      <c r="J251" s="30">
        <v>0</v>
      </c>
      <c r="K251" s="30">
        <v>43.33</v>
      </c>
      <c r="L251" s="30">
        <v>22.25</v>
      </c>
      <c r="M251" s="30">
        <v>0.8</v>
      </c>
      <c r="N251" s="30">
        <v>0</v>
      </c>
      <c r="O251" s="31">
        <v>47.63</v>
      </c>
    </row>
    <row r="252" spans="1:15" x14ac:dyDescent="0.65">
      <c r="A252" s="28">
        <v>500</v>
      </c>
      <c r="B252" s="29" t="s">
        <v>89</v>
      </c>
      <c r="C252" s="30">
        <v>180</v>
      </c>
      <c r="D252" s="30">
        <v>5.8</v>
      </c>
      <c r="E252" s="30">
        <v>5.2</v>
      </c>
      <c r="F252" s="30">
        <v>28.4</v>
      </c>
      <c r="G252" s="30">
        <v>186</v>
      </c>
      <c r="H252" s="30">
        <v>0.59</v>
      </c>
      <c r="I252" s="30">
        <v>0</v>
      </c>
      <c r="J252" s="30">
        <v>0</v>
      </c>
      <c r="K252" s="30">
        <v>0.13500000000000001</v>
      </c>
      <c r="L252" s="30">
        <v>115.2</v>
      </c>
      <c r="M252" s="30">
        <v>140.80000000000001</v>
      </c>
      <c r="N252" s="30">
        <v>392</v>
      </c>
      <c r="O252" s="31">
        <v>3.59</v>
      </c>
    </row>
    <row r="253" spans="1:15" x14ac:dyDescent="0.65">
      <c r="A253" s="28">
        <v>452</v>
      </c>
      <c r="B253" s="29" t="s">
        <v>113</v>
      </c>
      <c r="C253" s="30">
        <v>100</v>
      </c>
      <c r="D253" s="30">
        <v>7.95</v>
      </c>
      <c r="E253" s="30">
        <v>7.2</v>
      </c>
      <c r="F253" s="30">
        <v>8</v>
      </c>
      <c r="G253" s="30">
        <v>130.5</v>
      </c>
      <c r="H253" s="30">
        <v>0.6</v>
      </c>
      <c r="I253" s="30">
        <v>0.52</v>
      </c>
      <c r="J253" s="30">
        <v>6</v>
      </c>
      <c r="K253" s="30">
        <v>0</v>
      </c>
      <c r="L253" s="30">
        <v>13</v>
      </c>
      <c r="M253" s="30">
        <v>11.8</v>
      </c>
      <c r="N253" s="30">
        <v>142.6</v>
      </c>
      <c r="O253" s="31">
        <v>0.47</v>
      </c>
    </row>
    <row r="254" spans="1:15" x14ac:dyDescent="0.65">
      <c r="A254" s="28">
        <v>639</v>
      </c>
      <c r="B254" s="29" t="s">
        <v>78</v>
      </c>
      <c r="C254" s="30">
        <v>200</v>
      </c>
      <c r="D254" s="30">
        <v>0.6</v>
      </c>
      <c r="E254" s="30">
        <v>0</v>
      </c>
      <c r="F254" s="30">
        <f>15.7*2</f>
        <v>31.4</v>
      </c>
      <c r="G254" s="30">
        <f>62*2</f>
        <v>124</v>
      </c>
      <c r="H254" s="30">
        <v>0</v>
      </c>
      <c r="I254" s="30">
        <v>0.8</v>
      </c>
      <c r="J254" s="30">
        <v>0</v>
      </c>
      <c r="K254" s="30">
        <v>10</v>
      </c>
      <c r="L254" s="30">
        <v>3</v>
      </c>
      <c r="M254" s="30">
        <v>0.6</v>
      </c>
      <c r="N254" s="30">
        <v>0</v>
      </c>
      <c r="O254" s="31">
        <v>6</v>
      </c>
    </row>
    <row r="255" spans="1:15" ht="13" thickBot="1" x14ac:dyDescent="0.8">
      <c r="A255" s="23"/>
      <c r="B255" s="49" t="s">
        <v>27</v>
      </c>
      <c r="C255" s="56">
        <v>60</v>
      </c>
      <c r="D255" s="56">
        <v>6</v>
      </c>
      <c r="E255" s="56">
        <v>2</v>
      </c>
      <c r="F255" s="56">
        <v>4</v>
      </c>
      <c r="G255" s="56">
        <v>44</v>
      </c>
      <c r="H255" s="56">
        <v>0.05</v>
      </c>
      <c r="I255" s="56">
        <v>0</v>
      </c>
      <c r="J255" s="56">
        <v>0</v>
      </c>
      <c r="K255" s="56">
        <v>10.5</v>
      </c>
      <c r="L255" s="56">
        <v>14</v>
      </c>
      <c r="M255" s="56">
        <v>1.17</v>
      </c>
      <c r="N255" s="56">
        <v>0.42</v>
      </c>
      <c r="O255" s="51">
        <v>47.4</v>
      </c>
    </row>
    <row r="256" spans="1:15" ht="13" thickBot="1" x14ac:dyDescent="0.8">
      <c r="A256" s="52"/>
      <c r="B256" s="53" t="s">
        <v>23</v>
      </c>
      <c r="C256" s="64">
        <f>SUM(C250:C255)</f>
        <v>890</v>
      </c>
      <c r="D256" s="64">
        <f t="shared" ref="D256:O256" si="31">SUM(D250:D255)</f>
        <v>24.6</v>
      </c>
      <c r="E256" s="64">
        <f t="shared" si="31"/>
        <v>21.33</v>
      </c>
      <c r="F256" s="64">
        <f t="shared" si="31"/>
        <v>95.789999999999992</v>
      </c>
      <c r="G256" s="64">
        <f t="shared" si="31"/>
        <v>668.5</v>
      </c>
      <c r="H256" s="64">
        <f t="shared" si="31"/>
        <v>1.4000000000000001</v>
      </c>
      <c r="I256" s="64">
        <f t="shared" si="31"/>
        <v>25.48</v>
      </c>
      <c r="J256" s="64">
        <f t="shared" si="31"/>
        <v>6</v>
      </c>
      <c r="K256" s="64">
        <f t="shared" si="31"/>
        <v>63.964999999999996</v>
      </c>
      <c r="L256" s="64">
        <f t="shared" si="31"/>
        <v>179.99</v>
      </c>
      <c r="M256" s="64">
        <f t="shared" si="31"/>
        <v>176.26</v>
      </c>
      <c r="N256" s="64">
        <f t="shared" si="31"/>
        <v>559.59999999999991</v>
      </c>
      <c r="O256" s="128">
        <f t="shared" si="31"/>
        <v>105.88999999999999</v>
      </c>
    </row>
    <row r="257" spans="1:15" ht="13" thickBot="1" x14ac:dyDescent="0.8">
      <c r="A257" s="18"/>
      <c r="B257" s="36" t="s">
        <v>40</v>
      </c>
      <c r="C257" s="2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2"/>
    </row>
    <row r="258" spans="1:15" x14ac:dyDescent="0.65">
      <c r="A258" s="28">
        <v>132</v>
      </c>
      <c r="B258" s="55" t="s">
        <v>47</v>
      </c>
      <c r="C258" s="30">
        <v>200</v>
      </c>
      <c r="D258" s="30">
        <v>3</v>
      </c>
      <c r="E258" s="30">
        <v>4.5</v>
      </c>
      <c r="F258" s="30">
        <v>20.100000000000001</v>
      </c>
      <c r="G258" s="30">
        <v>135</v>
      </c>
      <c r="H258" s="30">
        <v>0.06</v>
      </c>
      <c r="I258" s="30">
        <v>18.46</v>
      </c>
      <c r="J258" s="30">
        <v>0</v>
      </c>
      <c r="K258" s="30">
        <v>43.33</v>
      </c>
      <c r="L258" s="30">
        <v>22.25</v>
      </c>
      <c r="M258" s="30">
        <v>0.8</v>
      </c>
      <c r="N258" s="30">
        <v>0</v>
      </c>
      <c r="O258" s="31">
        <v>47.63</v>
      </c>
    </row>
    <row r="259" spans="1:15" x14ac:dyDescent="0.65">
      <c r="A259" s="28">
        <v>436</v>
      </c>
      <c r="B259" s="29" t="s">
        <v>28</v>
      </c>
      <c r="C259" s="30">
        <v>240</v>
      </c>
      <c r="D259" s="30">
        <v>27.5</v>
      </c>
      <c r="E259" s="30">
        <v>7.47</v>
      </c>
      <c r="F259" s="30">
        <v>21.95</v>
      </c>
      <c r="G259" s="30">
        <v>265</v>
      </c>
      <c r="H259" s="30">
        <v>0.21</v>
      </c>
      <c r="I259" s="30">
        <v>8.9700000000000006</v>
      </c>
      <c r="J259" s="30">
        <v>24</v>
      </c>
      <c r="K259" s="30">
        <v>0</v>
      </c>
      <c r="L259" s="30">
        <v>31.1</v>
      </c>
      <c r="M259" s="30">
        <v>337</v>
      </c>
      <c r="N259" s="30">
        <v>65.7</v>
      </c>
      <c r="O259" s="31">
        <v>4.03</v>
      </c>
    </row>
    <row r="260" spans="1:15" x14ac:dyDescent="0.65">
      <c r="A260" s="28">
        <v>639</v>
      </c>
      <c r="B260" s="29" t="s">
        <v>78</v>
      </c>
      <c r="C260" s="30">
        <v>200</v>
      </c>
      <c r="D260" s="30">
        <v>0.6</v>
      </c>
      <c r="E260" s="30">
        <v>0</v>
      </c>
      <c r="F260" s="30">
        <v>31.4</v>
      </c>
      <c r="G260" s="30">
        <v>124</v>
      </c>
      <c r="H260" s="30">
        <v>0</v>
      </c>
      <c r="I260" s="30">
        <v>0.8</v>
      </c>
      <c r="J260" s="30">
        <v>0</v>
      </c>
      <c r="K260" s="30">
        <v>10</v>
      </c>
      <c r="L260" s="30">
        <v>3</v>
      </c>
      <c r="M260" s="30">
        <v>0.6</v>
      </c>
      <c r="N260" s="30">
        <v>0</v>
      </c>
      <c r="O260" s="31">
        <v>6</v>
      </c>
    </row>
    <row r="261" spans="1:15" x14ac:dyDescent="0.65">
      <c r="A261" s="28"/>
      <c r="B261" s="29" t="s">
        <v>27</v>
      </c>
      <c r="C261" s="30">
        <v>40</v>
      </c>
      <c r="D261" s="30">
        <v>3.04</v>
      </c>
      <c r="E261" s="30">
        <v>0.48</v>
      </c>
      <c r="F261" s="30">
        <v>16.68</v>
      </c>
      <c r="G261" s="30">
        <v>85.2</v>
      </c>
      <c r="H261" s="30">
        <v>0.05</v>
      </c>
      <c r="I261" s="30">
        <v>0</v>
      </c>
      <c r="J261" s="30">
        <v>0</v>
      </c>
      <c r="K261" s="30">
        <v>10.5</v>
      </c>
      <c r="L261" s="30">
        <v>14</v>
      </c>
      <c r="M261" s="30">
        <v>1.17</v>
      </c>
      <c r="N261" s="30">
        <v>0.42</v>
      </c>
      <c r="O261" s="31">
        <v>47.4</v>
      </c>
    </row>
    <row r="262" spans="1:15" ht="13" thickBot="1" x14ac:dyDescent="0.8">
      <c r="A262" s="23"/>
      <c r="B262" s="49" t="s">
        <v>33</v>
      </c>
      <c r="C262" s="56">
        <v>75</v>
      </c>
      <c r="D262" s="56">
        <v>3.8</v>
      </c>
      <c r="E262" s="56">
        <v>3.4</v>
      </c>
      <c r="F262" s="56">
        <v>23.2</v>
      </c>
      <c r="G262" s="56">
        <v>139</v>
      </c>
      <c r="H262" s="56">
        <v>0.04</v>
      </c>
      <c r="I262" s="56">
        <v>0</v>
      </c>
      <c r="J262" s="56">
        <v>0.02</v>
      </c>
      <c r="K262" s="56">
        <v>15</v>
      </c>
      <c r="L262" s="56">
        <v>6</v>
      </c>
      <c r="M262" s="56">
        <v>0.4</v>
      </c>
      <c r="N262" s="56">
        <v>0.5</v>
      </c>
      <c r="O262" s="51">
        <v>33</v>
      </c>
    </row>
    <row r="263" spans="1:15" ht="13" thickBot="1" x14ac:dyDescent="0.8">
      <c r="A263" s="52"/>
      <c r="B263" s="53" t="s">
        <v>23</v>
      </c>
      <c r="C263" s="64">
        <f>SUM(C258:C262)</f>
        <v>755</v>
      </c>
      <c r="D263" s="64">
        <f t="shared" ref="D263:O263" si="32">SUM(D258:D262)</f>
        <v>37.94</v>
      </c>
      <c r="E263" s="64">
        <f t="shared" si="32"/>
        <v>15.85</v>
      </c>
      <c r="F263" s="64">
        <f t="shared" si="32"/>
        <v>113.33</v>
      </c>
      <c r="G263" s="64">
        <f t="shared" si="32"/>
        <v>748.2</v>
      </c>
      <c r="H263" s="64">
        <f t="shared" si="32"/>
        <v>0.36</v>
      </c>
      <c r="I263" s="64">
        <f t="shared" si="32"/>
        <v>28.23</v>
      </c>
      <c r="J263" s="64">
        <f t="shared" si="32"/>
        <v>24.02</v>
      </c>
      <c r="K263" s="64">
        <f t="shared" si="32"/>
        <v>78.83</v>
      </c>
      <c r="L263" s="64">
        <f t="shared" si="32"/>
        <v>76.349999999999994</v>
      </c>
      <c r="M263" s="64">
        <f t="shared" si="32"/>
        <v>339.97</v>
      </c>
      <c r="N263" s="64">
        <f t="shared" si="32"/>
        <v>66.62</v>
      </c>
      <c r="O263" s="128">
        <f t="shared" si="32"/>
        <v>138.06</v>
      </c>
    </row>
    <row r="264" spans="1:15" ht="13" thickBot="1" x14ac:dyDescent="0.8">
      <c r="A264" s="18"/>
      <c r="B264" s="36" t="s">
        <v>43</v>
      </c>
      <c r="C264" s="2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2"/>
    </row>
    <row r="265" spans="1:15" x14ac:dyDescent="0.65">
      <c r="A265" s="28">
        <v>478</v>
      </c>
      <c r="B265" s="55" t="s">
        <v>68</v>
      </c>
      <c r="C265" s="30">
        <v>250</v>
      </c>
      <c r="D265" s="30">
        <f>10/100*125</f>
        <v>12.5</v>
      </c>
      <c r="E265" s="30">
        <f>9.8/100*125</f>
        <v>12.25</v>
      </c>
      <c r="F265" s="30">
        <f>16.5/100*125</f>
        <v>20.625</v>
      </c>
      <c r="G265" s="30">
        <f>198/100*125</f>
        <v>247.5</v>
      </c>
      <c r="H265" s="30">
        <v>0.17</v>
      </c>
      <c r="I265" s="30">
        <v>3.3</v>
      </c>
      <c r="J265" s="30">
        <v>0.05</v>
      </c>
      <c r="K265" s="30">
        <v>20.8</v>
      </c>
      <c r="L265" s="30">
        <v>46.6</v>
      </c>
      <c r="M265" s="30">
        <v>2.9</v>
      </c>
      <c r="N265" s="30">
        <v>0.6</v>
      </c>
      <c r="O265" s="31">
        <v>252.4</v>
      </c>
    </row>
    <row r="266" spans="1:15" x14ac:dyDescent="0.65">
      <c r="A266" s="28">
        <v>707</v>
      </c>
      <c r="B266" s="29" t="s">
        <v>50</v>
      </c>
      <c r="C266" s="30">
        <v>250</v>
      </c>
      <c r="D266" s="30">
        <v>1</v>
      </c>
      <c r="E266" s="30">
        <v>0</v>
      </c>
      <c r="F266" s="30">
        <f>10.6*2</f>
        <v>21.2</v>
      </c>
      <c r="G266" s="30">
        <f>44*2</f>
        <v>88</v>
      </c>
      <c r="H266" s="30">
        <v>0.02</v>
      </c>
      <c r="I266" s="30">
        <v>4</v>
      </c>
      <c r="J266" s="30">
        <v>0</v>
      </c>
      <c r="K266" s="30">
        <v>14</v>
      </c>
      <c r="L266" s="30">
        <v>0</v>
      </c>
      <c r="M266" s="30">
        <v>2.8</v>
      </c>
      <c r="N266" s="30">
        <v>0</v>
      </c>
      <c r="O266" s="31">
        <v>0</v>
      </c>
    </row>
    <row r="267" spans="1:15" ht="13" thickBot="1" x14ac:dyDescent="0.8">
      <c r="A267" s="23"/>
      <c r="B267" s="49" t="s">
        <v>27</v>
      </c>
      <c r="C267" s="56">
        <v>40</v>
      </c>
      <c r="D267" s="56">
        <v>3.04</v>
      </c>
      <c r="E267" s="56">
        <v>0.48</v>
      </c>
      <c r="F267" s="56">
        <v>16.68</v>
      </c>
      <c r="G267" s="56">
        <v>85.2</v>
      </c>
      <c r="H267" s="56">
        <v>0.05</v>
      </c>
      <c r="I267" s="56">
        <v>0</v>
      </c>
      <c r="J267" s="56">
        <v>0</v>
      </c>
      <c r="K267" s="56">
        <v>10.5</v>
      </c>
      <c r="L267" s="56">
        <v>14</v>
      </c>
      <c r="M267" s="56">
        <v>1.17</v>
      </c>
      <c r="N267" s="56">
        <v>0.42</v>
      </c>
      <c r="O267" s="51">
        <v>47.4</v>
      </c>
    </row>
    <row r="268" spans="1:15" ht="13" thickBot="1" x14ac:dyDescent="0.8">
      <c r="A268" s="52"/>
      <c r="B268" s="53" t="s">
        <v>23</v>
      </c>
      <c r="C268" s="64">
        <f>SUM(C265:C267)</f>
        <v>540</v>
      </c>
      <c r="D268" s="64">
        <f t="shared" ref="D268:O268" si="33">SUM(D265:D267)</f>
        <v>16.54</v>
      </c>
      <c r="E268" s="64">
        <f t="shared" si="33"/>
        <v>12.73</v>
      </c>
      <c r="F268" s="64">
        <f t="shared" si="33"/>
        <v>58.505000000000003</v>
      </c>
      <c r="G268" s="64">
        <f t="shared" si="33"/>
        <v>420.7</v>
      </c>
      <c r="H268" s="64">
        <f t="shared" si="33"/>
        <v>0.24</v>
      </c>
      <c r="I268" s="64">
        <f t="shared" si="33"/>
        <v>7.3</v>
      </c>
      <c r="J268" s="64">
        <f t="shared" si="33"/>
        <v>0.05</v>
      </c>
      <c r="K268" s="64">
        <f t="shared" si="33"/>
        <v>45.3</v>
      </c>
      <c r="L268" s="64">
        <f t="shared" si="33"/>
        <v>60.6</v>
      </c>
      <c r="M268" s="64">
        <f t="shared" si="33"/>
        <v>6.8699999999999992</v>
      </c>
      <c r="N268" s="64">
        <f t="shared" si="33"/>
        <v>1.02</v>
      </c>
      <c r="O268" s="128">
        <f t="shared" si="33"/>
        <v>299.8</v>
      </c>
    </row>
    <row r="269" spans="1:15" ht="13" thickBot="1" x14ac:dyDescent="0.8">
      <c r="A269" s="117"/>
      <c r="B269" s="15" t="s">
        <v>69</v>
      </c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1"/>
    </row>
    <row r="270" spans="1:15" ht="13" thickBot="1" x14ac:dyDescent="0.8">
      <c r="A270" s="93"/>
      <c r="B270" s="36" t="s">
        <v>37</v>
      </c>
      <c r="C270" s="94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1"/>
    </row>
    <row r="271" spans="1:15" x14ac:dyDescent="0.65">
      <c r="A271" s="28">
        <v>302</v>
      </c>
      <c r="B271" s="55" t="s">
        <v>111</v>
      </c>
      <c r="C271" s="30">
        <v>250</v>
      </c>
      <c r="D271" s="30">
        <f>2.9/100*205</f>
        <v>5.9449999999999994</v>
      </c>
      <c r="E271" s="30">
        <f>4.6/100*205</f>
        <v>9.43</v>
      </c>
      <c r="F271" s="30">
        <f>15.9/100*205</f>
        <v>32.594999999999999</v>
      </c>
      <c r="G271" s="30">
        <f>120/100*205</f>
        <v>246</v>
      </c>
      <c r="H271" s="30">
        <v>0.18</v>
      </c>
      <c r="I271" s="30">
        <v>1.36</v>
      </c>
      <c r="J271" s="30">
        <v>0.08</v>
      </c>
      <c r="K271" s="30">
        <v>144.6</v>
      </c>
      <c r="L271" s="30">
        <v>55.4</v>
      </c>
      <c r="M271" s="30">
        <v>1.46</v>
      </c>
      <c r="N271" s="30">
        <v>0.24</v>
      </c>
      <c r="O271" s="31">
        <v>259.8</v>
      </c>
    </row>
    <row r="272" spans="1:15" ht="13" thickBot="1" x14ac:dyDescent="0.8">
      <c r="A272" s="23">
        <v>685</v>
      </c>
      <c r="B272" s="49" t="s">
        <v>24</v>
      </c>
      <c r="C272" s="56">
        <v>250</v>
      </c>
      <c r="D272" s="56">
        <v>0.2</v>
      </c>
      <c r="E272" s="56">
        <v>0</v>
      </c>
      <c r="F272" s="56">
        <v>0</v>
      </c>
      <c r="G272" s="56">
        <f>63*2</f>
        <v>126</v>
      </c>
      <c r="H272" s="56">
        <v>0</v>
      </c>
      <c r="I272" s="56">
        <v>0.8</v>
      </c>
      <c r="J272" s="56">
        <v>0</v>
      </c>
      <c r="K272" s="56">
        <v>10</v>
      </c>
      <c r="L272" s="56">
        <v>3</v>
      </c>
      <c r="M272" s="56">
        <v>0.6</v>
      </c>
      <c r="N272" s="56">
        <v>0</v>
      </c>
      <c r="O272" s="51">
        <v>6</v>
      </c>
    </row>
    <row r="273" spans="1:15" ht="13" thickBot="1" x14ac:dyDescent="0.8">
      <c r="A273" s="52"/>
      <c r="B273" s="53" t="s">
        <v>23</v>
      </c>
      <c r="C273" s="64">
        <f>SUM(C271:C272)</f>
        <v>500</v>
      </c>
      <c r="D273" s="64">
        <f t="shared" ref="D273:O273" si="34">SUM(D271:D272)</f>
        <v>6.1449999999999996</v>
      </c>
      <c r="E273" s="64">
        <f t="shared" si="34"/>
        <v>9.43</v>
      </c>
      <c r="F273" s="64">
        <f t="shared" si="34"/>
        <v>32.594999999999999</v>
      </c>
      <c r="G273" s="64">
        <f t="shared" si="34"/>
        <v>372</v>
      </c>
      <c r="H273" s="64">
        <f t="shared" si="34"/>
        <v>0.18</v>
      </c>
      <c r="I273" s="64">
        <f t="shared" si="34"/>
        <v>2.16</v>
      </c>
      <c r="J273" s="64">
        <f t="shared" si="34"/>
        <v>0.08</v>
      </c>
      <c r="K273" s="64">
        <f t="shared" si="34"/>
        <v>154.6</v>
      </c>
      <c r="L273" s="64">
        <f t="shared" si="34"/>
        <v>58.4</v>
      </c>
      <c r="M273" s="64">
        <f t="shared" si="34"/>
        <v>2.06</v>
      </c>
      <c r="N273" s="64">
        <f t="shared" si="34"/>
        <v>0.24</v>
      </c>
      <c r="O273" s="128">
        <f t="shared" si="34"/>
        <v>265.8</v>
      </c>
    </row>
    <row r="274" spans="1:15" ht="13" thickBot="1" x14ac:dyDescent="0.8">
      <c r="A274" s="18"/>
      <c r="B274" s="36" t="s">
        <v>38</v>
      </c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2"/>
    </row>
    <row r="275" spans="1:15" x14ac:dyDescent="0.65">
      <c r="A275" s="28">
        <v>332</v>
      </c>
      <c r="B275" s="55" t="s">
        <v>97</v>
      </c>
      <c r="C275" s="30">
        <v>150</v>
      </c>
      <c r="D275" s="30">
        <v>5.25</v>
      </c>
      <c r="E275" s="30">
        <v>6.15</v>
      </c>
      <c r="F275" s="30">
        <v>35.200000000000003</v>
      </c>
      <c r="G275" s="30">
        <v>220</v>
      </c>
      <c r="H275" s="30">
        <v>0.18</v>
      </c>
      <c r="I275" s="30">
        <v>0</v>
      </c>
      <c r="J275" s="30">
        <v>0.02</v>
      </c>
      <c r="K275" s="30">
        <v>0</v>
      </c>
      <c r="L275" s="30">
        <v>67.5</v>
      </c>
      <c r="M275" s="30">
        <v>12.98</v>
      </c>
      <c r="N275" s="30">
        <v>208.5</v>
      </c>
      <c r="O275" s="31">
        <v>3.95</v>
      </c>
    </row>
    <row r="276" spans="1:15" x14ac:dyDescent="0.65">
      <c r="A276" s="28">
        <v>452</v>
      </c>
      <c r="B276" s="29" t="s">
        <v>113</v>
      </c>
      <c r="C276" s="30">
        <v>90</v>
      </c>
      <c r="D276" s="30">
        <v>16.7</v>
      </c>
      <c r="E276" s="30">
        <v>12.1</v>
      </c>
      <c r="F276" s="30">
        <v>16.3</v>
      </c>
      <c r="G276" s="30">
        <v>244</v>
      </c>
      <c r="H276" s="30">
        <v>7.0000000000000007E-2</v>
      </c>
      <c r="I276" s="30">
        <v>0</v>
      </c>
      <c r="J276" s="30">
        <v>0.02</v>
      </c>
      <c r="K276" s="30">
        <v>33</v>
      </c>
      <c r="L276" s="30">
        <v>19</v>
      </c>
      <c r="M276" s="30">
        <v>1.9</v>
      </c>
      <c r="N276" s="30">
        <v>0.3</v>
      </c>
      <c r="O276" s="31">
        <v>150</v>
      </c>
    </row>
    <row r="277" spans="1:15" x14ac:dyDescent="0.65">
      <c r="A277" s="28">
        <v>685</v>
      </c>
      <c r="B277" s="29" t="s">
        <v>24</v>
      </c>
      <c r="C277" s="30">
        <v>250</v>
      </c>
      <c r="D277" s="30">
        <v>0.2</v>
      </c>
      <c r="E277" s="30">
        <v>0</v>
      </c>
      <c r="F277" s="30">
        <v>0</v>
      </c>
      <c r="G277" s="30">
        <v>4.5999999999999996</v>
      </c>
      <c r="H277" s="30">
        <v>0</v>
      </c>
      <c r="I277" s="30">
        <v>0</v>
      </c>
      <c r="J277" s="30">
        <v>0</v>
      </c>
      <c r="K277" s="30">
        <v>6</v>
      </c>
      <c r="L277" s="30">
        <v>0</v>
      </c>
      <c r="M277" s="30">
        <v>6.52</v>
      </c>
      <c r="N277" s="30">
        <v>0</v>
      </c>
      <c r="O277" s="31">
        <v>0</v>
      </c>
    </row>
    <row r="278" spans="1:15" ht="13" thickBot="1" x14ac:dyDescent="0.8">
      <c r="A278" s="23"/>
      <c r="B278" s="49" t="s">
        <v>27</v>
      </c>
      <c r="C278" s="56">
        <v>40</v>
      </c>
      <c r="D278" s="56">
        <v>4.8</v>
      </c>
      <c r="E278" s="56">
        <v>2</v>
      </c>
      <c r="F278" s="56">
        <v>23.5</v>
      </c>
      <c r="G278" s="56">
        <v>171</v>
      </c>
      <c r="H278" s="56">
        <v>0.06</v>
      </c>
      <c r="I278" s="56">
        <v>0</v>
      </c>
      <c r="J278" s="56">
        <v>0.01</v>
      </c>
      <c r="K278" s="56">
        <v>9</v>
      </c>
      <c r="L278" s="56">
        <v>7</v>
      </c>
      <c r="M278" s="56">
        <v>0.5</v>
      </c>
      <c r="N278" s="56">
        <v>0.9</v>
      </c>
      <c r="O278" s="51">
        <v>36</v>
      </c>
    </row>
    <row r="279" spans="1:15" ht="13" thickBot="1" x14ac:dyDescent="0.8">
      <c r="A279" s="52"/>
      <c r="B279" s="53" t="s">
        <v>23</v>
      </c>
      <c r="C279" s="64">
        <f>SUM(C275:C278)</f>
        <v>530</v>
      </c>
      <c r="D279" s="64">
        <f t="shared" ref="D279:O279" si="35">SUM(D275:D278)</f>
        <v>26.95</v>
      </c>
      <c r="E279" s="64">
        <f t="shared" si="35"/>
        <v>20.25</v>
      </c>
      <c r="F279" s="64">
        <f t="shared" si="35"/>
        <v>75</v>
      </c>
      <c r="G279" s="64">
        <f t="shared" si="35"/>
        <v>639.6</v>
      </c>
      <c r="H279" s="64">
        <f t="shared" si="35"/>
        <v>0.31</v>
      </c>
      <c r="I279" s="64">
        <f t="shared" si="35"/>
        <v>0</v>
      </c>
      <c r="J279" s="64">
        <f t="shared" si="35"/>
        <v>0.05</v>
      </c>
      <c r="K279" s="64">
        <f t="shared" si="35"/>
        <v>48</v>
      </c>
      <c r="L279" s="64">
        <f t="shared" si="35"/>
        <v>93.5</v>
      </c>
      <c r="M279" s="64">
        <f t="shared" si="35"/>
        <v>21.9</v>
      </c>
      <c r="N279" s="64">
        <f t="shared" si="35"/>
        <v>209.70000000000002</v>
      </c>
      <c r="O279" s="128">
        <f t="shared" si="35"/>
        <v>189.95</v>
      </c>
    </row>
    <row r="280" spans="1:15" ht="13" thickBot="1" x14ac:dyDescent="0.8">
      <c r="A280" s="18"/>
      <c r="B280" s="36" t="s">
        <v>39</v>
      </c>
      <c r="C280" s="20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2"/>
    </row>
    <row r="281" spans="1:15" x14ac:dyDescent="0.65">
      <c r="A281" s="28">
        <v>65</v>
      </c>
      <c r="B281" s="55" t="s">
        <v>54</v>
      </c>
      <c r="C281" s="30">
        <v>100</v>
      </c>
      <c r="D281" s="30">
        <v>5.8</v>
      </c>
      <c r="E281" s="30">
        <v>16.600000000000001</v>
      </c>
      <c r="F281" s="30">
        <v>5.5</v>
      </c>
      <c r="G281" s="30">
        <v>195</v>
      </c>
      <c r="H281" s="30">
        <v>0.4</v>
      </c>
      <c r="I281" s="30">
        <v>14.5</v>
      </c>
      <c r="J281" s="30">
        <v>0</v>
      </c>
      <c r="K281" s="30">
        <v>29</v>
      </c>
      <c r="L281" s="30">
        <v>25</v>
      </c>
      <c r="M281" s="30">
        <v>1.1000000000000001</v>
      </c>
      <c r="N281" s="30">
        <v>4.7</v>
      </c>
      <c r="O281" s="31">
        <v>37</v>
      </c>
    </row>
    <row r="282" spans="1:15" x14ac:dyDescent="0.65">
      <c r="A282" s="28">
        <v>140</v>
      </c>
      <c r="B282" s="29" t="s">
        <v>135</v>
      </c>
      <c r="C282" s="30">
        <v>250</v>
      </c>
      <c r="D282" s="30">
        <v>2.9</v>
      </c>
      <c r="E282" s="30">
        <v>2.5</v>
      </c>
      <c r="F282" s="30">
        <v>21</v>
      </c>
      <c r="G282" s="30">
        <v>170</v>
      </c>
      <c r="H282" s="30">
        <v>0.19</v>
      </c>
      <c r="I282" s="30">
        <v>8.6</v>
      </c>
      <c r="J282" s="30">
        <v>0.03</v>
      </c>
      <c r="K282" s="30">
        <v>19</v>
      </c>
      <c r="L282" s="30">
        <v>25.5</v>
      </c>
      <c r="M282" s="30">
        <v>0.9</v>
      </c>
      <c r="N282" s="30">
        <v>0.2</v>
      </c>
      <c r="O282" s="31">
        <v>85.7</v>
      </c>
    </row>
    <row r="283" spans="1:15" x14ac:dyDescent="0.65">
      <c r="A283" s="28">
        <v>511</v>
      </c>
      <c r="B283" s="29" t="s">
        <v>30</v>
      </c>
      <c r="C283" s="30">
        <v>180</v>
      </c>
      <c r="D283" s="30">
        <v>3.7</v>
      </c>
      <c r="E283" s="30">
        <v>6.1</v>
      </c>
      <c r="F283" s="30">
        <v>38.5</v>
      </c>
      <c r="G283" s="30">
        <v>228</v>
      </c>
      <c r="H283" s="30">
        <v>0.18</v>
      </c>
      <c r="I283" s="30">
        <v>0</v>
      </c>
      <c r="J283" s="30">
        <v>0.02</v>
      </c>
      <c r="K283" s="30">
        <v>0</v>
      </c>
      <c r="L283" s="30">
        <v>67.5</v>
      </c>
      <c r="M283" s="30">
        <v>12.98</v>
      </c>
      <c r="N283" s="30">
        <v>208.5</v>
      </c>
      <c r="O283" s="31">
        <v>3.95</v>
      </c>
    </row>
    <row r="284" spans="1:15" x14ac:dyDescent="0.65">
      <c r="A284" s="28">
        <v>437</v>
      </c>
      <c r="B284" s="29" t="s">
        <v>90</v>
      </c>
      <c r="C284" s="30">
        <v>100</v>
      </c>
      <c r="D284" s="30">
        <v>13.9</v>
      </c>
      <c r="E284" s="30">
        <v>6.5</v>
      </c>
      <c r="F284" s="30">
        <v>4</v>
      </c>
      <c r="G284" s="30">
        <v>132</v>
      </c>
      <c r="H284" s="30">
        <v>0.08</v>
      </c>
      <c r="I284" s="30">
        <v>0.68</v>
      </c>
      <c r="J284" s="30">
        <v>0.03</v>
      </c>
      <c r="K284" s="30">
        <v>29.7</v>
      </c>
      <c r="L284" s="30">
        <v>14.8</v>
      </c>
      <c r="M284" s="30">
        <v>0.9</v>
      </c>
      <c r="N284" s="30">
        <v>0.32</v>
      </c>
      <c r="O284" s="31">
        <v>75.36</v>
      </c>
    </row>
    <row r="285" spans="1:15" x14ac:dyDescent="0.65">
      <c r="A285" s="28">
        <v>705</v>
      </c>
      <c r="B285" s="29" t="s">
        <v>77</v>
      </c>
      <c r="C285" s="30">
        <v>200</v>
      </c>
      <c r="D285" s="30">
        <v>0.4</v>
      </c>
      <c r="E285" s="30">
        <v>0</v>
      </c>
      <c r="F285" s="30">
        <v>23.6</v>
      </c>
      <c r="G285" s="30">
        <v>94</v>
      </c>
      <c r="H285" s="30">
        <v>0.01</v>
      </c>
      <c r="I285" s="30">
        <v>70</v>
      </c>
      <c r="J285" s="30">
        <v>0</v>
      </c>
      <c r="K285" s="30">
        <v>12</v>
      </c>
      <c r="L285" s="30">
        <v>3</v>
      </c>
      <c r="M285" s="30">
        <v>1.5</v>
      </c>
      <c r="N285" s="30">
        <v>0</v>
      </c>
      <c r="O285" s="31">
        <v>3</v>
      </c>
    </row>
    <row r="286" spans="1:15" ht="13" thickBot="1" x14ac:dyDescent="0.8">
      <c r="A286" s="23"/>
      <c r="B286" s="49" t="s">
        <v>27</v>
      </c>
      <c r="C286" s="56">
        <v>40</v>
      </c>
      <c r="D286" s="56">
        <v>3.04</v>
      </c>
      <c r="E286" s="56">
        <v>0.48</v>
      </c>
      <c r="F286" s="56">
        <v>16.68</v>
      </c>
      <c r="G286" s="56">
        <v>85.2</v>
      </c>
      <c r="H286" s="56">
        <v>0.05</v>
      </c>
      <c r="I286" s="56">
        <v>0</v>
      </c>
      <c r="J286" s="56">
        <v>0</v>
      </c>
      <c r="K286" s="56">
        <v>10.5</v>
      </c>
      <c r="L286" s="56">
        <v>14</v>
      </c>
      <c r="M286" s="56">
        <v>1.17</v>
      </c>
      <c r="N286" s="56">
        <v>0.42</v>
      </c>
      <c r="O286" s="51">
        <v>47.4</v>
      </c>
    </row>
    <row r="287" spans="1:15" ht="13" thickBot="1" x14ac:dyDescent="0.8">
      <c r="A287" s="52"/>
      <c r="B287" s="53" t="s">
        <v>23</v>
      </c>
      <c r="C287" s="64">
        <f>SUM(C281:C286)</f>
        <v>870</v>
      </c>
      <c r="D287" s="64">
        <f t="shared" ref="D287:O287" si="36">SUM(D281:D286)</f>
        <v>29.739999999999995</v>
      </c>
      <c r="E287" s="64">
        <f t="shared" si="36"/>
        <v>32.18</v>
      </c>
      <c r="F287" s="64">
        <f t="shared" si="36"/>
        <v>109.28</v>
      </c>
      <c r="G287" s="64">
        <f t="shared" si="36"/>
        <v>904.2</v>
      </c>
      <c r="H287" s="64">
        <f t="shared" si="36"/>
        <v>0.91</v>
      </c>
      <c r="I287" s="64">
        <f t="shared" si="36"/>
        <v>93.78</v>
      </c>
      <c r="J287" s="64">
        <f t="shared" si="36"/>
        <v>0.08</v>
      </c>
      <c r="K287" s="64">
        <f t="shared" si="36"/>
        <v>100.2</v>
      </c>
      <c r="L287" s="64">
        <f t="shared" si="36"/>
        <v>149.80000000000001</v>
      </c>
      <c r="M287" s="64">
        <f t="shared" si="36"/>
        <v>18.550000000000004</v>
      </c>
      <c r="N287" s="64">
        <f t="shared" si="36"/>
        <v>214.14</v>
      </c>
      <c r="O287" s="128">
        <f t="shared" si="36"/>
        <v>252.41</v>
      </c>
    </row>
    <row r="288" spans="1:15" ht="13" thickBot="1" x14ac:dyDescent="0.8">
      <c r="A288" s="18"/>
      <c r="B288" s="36" t="s">
        <v>40</v>
      </c>
      <c r="C288" s="2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2"/>
    </row>
    <row r="289" spans="1:15" x14ac:dyDescent="0.65">
      <c r="A289" s="28">
        <v>140</v>
      </c>
      <c r="B289" s="55" t="s">
        <v>135</v>
      </c>
      <c r="C289" s="30">
        <v>200</v>
      </c>
      <c r="D289" s="30">
        <v>2.9</v>
      </c>
      <c r="E289" s="30">
        <v>2.5</v>
      </c>
      <c r="F289" s="30">
        <v>21</v>
      </c>
      <c r="G289" s="30">
        <v>170</v>
      </c>
      <c r="H289" s="30">
        <v>0.19</v>
      </c>
      <c r="I289" s="30">
        <v>8.6</v>
      </c>
      <c r="J289" s="30">
        <v>0.03</v>
      </c>
      <c r="K289" s="30">
        <v>19</v>
      </c>
      <c r="L289" s="30">
        <v>25.5</v>
      </c>
      <c r="M289" s="30">
        <v>0.9</v>
      </c>
      <c r="N289" s="30">
        <v>0.2</v>
      </c>
      <c r="O289" s="31">
        <v>85.7</v>
      </c>
    </row>
    <row r="290" spans="1:15" x14ac:dyDescent="0.65">
      <c r="A290" s="28">
        <v>511</v>
      </c>
      <c r="B290" s="29" t="s">
        <v>30</v>
      </c>
      <c r="C290" s="30">
        <v>150</v>
      </c>
      <c r="D290" s="30">
        <v>3.7</v>
      </c>
      <c r="E290" s="30">
        <v>6.1</v>
      </c>
      <c r="F290" s="30">
        <v>38.5</v>
      </c>
      <c r="G290" s="30">
        <v>228</v>
      </c>
      <c r="H290" s="30">
        <v>5.3999999999999999E-2</v>
      </c>
      <c r="I290" s="30">
        <v>12.28</v>
      </c>
      <c r="J290" s="30">
        <v>0</v>
      </c>
      <c r="K290" s="30">
        <v>0</v>
      </c>
      <c r="L290" s="30">
        <v>0</v>
      </c>
      <c r="M290" s="30">
        <v>27.2</v>
      </c>
      <c r="N290" s="30">
        <v>0</v>
      </c>
      <c r="O290" s="31">
        <v>1.37</v>
      </c>
    </row>
    <row r="291" spans="1:15" x14ac:dyDescent="0.65">
      <c r="A291" s="28">
        <v>388</v>
      </c>
      <c r="B291" s="29" t="s">
        <v>25</v>
      </c>
      <c r="C291" s="30">
        <v>90</v>
      </c>
      <c r="D291" s="30">
        <v>3.58</v>
      </c>
      <c r="E291" s="30">
        <v>2.42</v>
      </c>
      <c r="F291" s="30">
        <v>4.18</v>
      </c>
      <c r="G291" s="30">
        <v>53.9</v>
      </c>
      <c r="H291" s="30">
        <v>0.01</v>
      </c>
      <c r="I291" s="30">
        <v>70</v>
      </c>
      <c r="J291" s="30">
        <v>0</v>
      </c>
      <c r="K291" s="30">
        <v>12</v>
      </c>
      <c r="L291" s="30">
        <v>3</v>
      </c>
      <c r="M291" s="30">
        <v>1.5</v>
      </c>
      <c r="N291" s="30">
        <v>0</v>
      </c>
      <c r="O291" s="31">
        <v>3</v>
      </c>
    </row>
    <row r="292" spans="1:15" x14ac:dyDescent="0.65">
      <c r="A292" s="28"/>
      <c r="B292" s="29" t="s">
        <v>27</v>
      </c>
      <c r="C292" s="30">
        <v>40</v>
      </c>
      <c r="D292" s="30">
        <v>3.04</v>
      </c>
      <c r="E292" s="30">
        <v>0.48</v>
      </c>
      <c r="F292" s="30">
        <v>16.68</v>
      </c>
      <c r="G292" s="30">
        <v>85.2</v>
      </c>
      <c r="H292" s="30">
        <v>0.05</v>
      </c>
      <c r="I292" s="30">
        <v>0</v>
      </c>
      <c r="J292" s="30">
        <v>0</v>
      </c>
      <c r="K292" s="30">
        <v>10.5</v>
      </c>
      <c r="L292" s="30">
        <v>14</v>
      </c>
      <c r="M292" s="30">
        <v>1.17</v>
      </c>
      <c r="N292" s="30">
        <v>0.42</v>
      </c>
      <c r="O292" s="31">
        <v>47.4</v>
      </c>
    </row>
    <row r="293" spans="1:15" ht="13" thickBot="1" x14ac:dyDescent="0.8">
      <c r="A293" s="23">
        <v>705</v>
      </c>
      <c r="B293" s="49" t="s">
        <v>77</v>
      </c>
      <c r="C293" s="56">
        <v>200</v>
      </c>
      <c r="D293" s="56">
        <v>0.68</v>
      </c>
      <c r="E293" s="56">
        <v>0.28000000000000003</v>
      </c>
      <c r="F293" s="56">
        <v>20.76</v>
      </c>
      <c r="G293" s="56">
        <v>88.2</v>
      </c>
      <c r="H293" s="56">
        <v>0.03</v>
      </c>
      <c r="I293" s="56">
        <v>0</v>
      </c>
      <c r="J293" s="56">
        <v>4.0000000000000001E-3</v>
      </c>
      <c r="K293" s="56">
        <v>11.6</v>
      </c>
      <c r="L293" s="56">
        <v>8</v>
      </c>
      <c r="M293" s="56">
        <v>0.84</v>
      </c>
      <c r="N293" s="56">
        <v>1.4</v>
      </c>
      <c r="O293" s="51">
        <v>36</v>
      </c>
    </row>
    <row r="294" spans="1:15" ht="13" thickBot="1" x14ac:dyDescent="0.8">
      <c r="A294" s="52"/>
      <c r="B294" s="53" t="s">
        <v>23</v>
      </c>
      <c r="C294" s="64">
        <f>SUM(C289:C293)</f>
        <v>680</v>
      </c>
      <c r="D294" s="64">
        <f t="shared" ref="D294:O294" si="37">SUM(D289:D293)</f>
        <v>13.899999999999999</v>
      </c>
      <c r="E294" s="64">
        <f t="shared" si="37"/>
        <v>11.78</v>
      </c>
      <c r="F294" s="64">
        <f t="shared" si="37"/>
        <v>101.12</v>
      </c>
      <c r="G294" s="64">
        <f t="shared" si="37"/>
        <v>625.30000000000007</v>
      </c>
      <c r="H294" s="64">
        <f t="shared" si="37"/>
        <v>0.33399999999999996</v>
      </c>
      <c r="I294" s="64">
        <f t="shared" si="37"/>
        <v>90.88</v>
      </c>
      <c r="J294" s="64">
        <f t="shared" si="37"/>
        <v>3.4000000000000002E-2</v>
      </c>
      <c r="K294" s="64">
        <f t="shared" si="37"/>
        <v>53.1</v>
      </c>
      <c r="L294" s="64">
        <f t="shared" si="37"/>
        <v>50.5</v>
      </c>
      <c r="M294" s="64">
        <f t="shared" si="37"/>
        <v>31.609999999999996</v>
      </c>
      <c r="N294" s="64">
        <f t="shared" si="37"/>
        <v>2.02</v>
      </c>
      <c r="O294" s="128">
        <f t="shared" si="37"/>
        <v>173.47</v>
      </c>
    </row>
    <row r="295" spans="1:15" ht="13" thickBot="1" x14ac:dyDescent="0.8">
      <c r="A295" s="18"/>
      <c r="B295" s="36" t="s">
        <v>43</v>
      </c>
      <c r="C295" s="2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2"/>
    </row>
    <row r="296" spans="1:15" x14ac:dyDescent="0.65">
      <c r="A296" s="28">
        <v>43</v>
      </c>
      <c r="B296" s="55" t="s">
        <v>70</v>
      </c>
      <c r="C296" s="30">
        <v>150</v>
      </c>
      <c r="D296" s="30">
        <v>1.4</v>
      </c>
      <c r="E296" s="30">
        <v>5.0999999999999996</v>
      </c>
      <c r="F296" s="30">
        <v>8.9</v>
      </c>
      <c r="G296" s="30">
        <v>132</v>
      </c>
      <c r="H296" s="30">
        <v>0.02</v>
      </c>
      <c r="I296" s="30">
        <v>19.47</v>
      </c>
      <c r="J296" s="30">
        <v>0</v>
      </c>
      <c r="K296" s="30">
        <v>22.42</v>
      </c>
      <c r="L296" s="30">
        <v>9.1</v>
      </c>
      <c r="M296" s="30">
        <v>0.31</v>
      </c>
      <c r="N296" s="30">
        <v>0</v>
      </c>
      <c r="O296" s="31">
        <v>16.57</v>
      </c>
    </row>
    <row r="297" spans="1:15" x14ac:dyDescent="0.65">
      <c r="A297" s="28">
        <v>494</v>
      </c>
      <c r="B297" s="29" t="s">
        <v>105</v>
      </c>
      <c r="C297" s="30">
        <v>100</v>
      </c>
      <c r="D297" s="30">
        <v>19.2</v>
      </c>
      <c r="E297" s="30">
        <v>12.1</v>
      </c>
      <c r="F297" s="30">
        <v>0.7</v>
      </c>
      <c r="G297" s="30">
        <v>188</v>
      </c>
      <c r="H297" s="30">
        <v>0.04</v>
      </c>
      <c r="I297" s="30">
        <v>3.7</v>
      </c>
      <c r="J297" s="30">
        <v>0.02</v>
      </c>
      <c r="K297" s="30">
        <v>28.5</v>
      </c>
      <c r="L297" s="30">
        <v>18.2</v>
      </c>
      <c r="M297" s="30">
        <v>1.2</v>
      </c>
      <c r="N297" s="30">
        <v>0.45</v>
      </c>
      <c r="O297" s="31">
        <v>126.8</v>
      </c>
    </row>
    <row r="298" spans="1:15" x14ac:dyDescent="0.65">
      <c r="A298" s="28">
        <v>707</v>
      </c>
      <c r="B298" s="29" t="s">
        <v>71</v>
      </c>
      <c r="C298" s="30">
        <v>250</v>
      </c>
      <c r="D298" s="30">
        <v>1</v>
      </c>
      <c r="E298" s="30">
        <v>0.2</v>
      </c>
      <c r="F298" s="30">
        <v>0.2</v>
      </c>
      <c r="G298" s="30">
        <v>92</v>
      </c>
      <c r="H298" s="30">
        <v>0.02</v>
      </c>
      <c r="I298" s="30">
        <v>4</v>
      </c>
      <c r="J298" s="30">
        <v>0</v>
      </c>
      <c r="K298" s="30">
        <v>14</v>
      </c>
      <c r="L298" s="30">
        <v>0</v>
      </c>
      <c r="M298" s="30">
        <v>2.8</v>
      </c>
      <c r="N298" s="30">
        <v>0</v>
      </c>
      <c r="O298" s="31">
        <v>0</v>
      </c>
    </row>
    <row r="299" spans="1:15" ht="13" thickBot="1" x14ac:dyDescent="0.8">
      <c r="A299" s="23"/>
      <c r="B299" s="49" t="s">
        <v>27</v>
      </c>
      <c r="C299" s="56">
        <v>40</v>
      </c>
      <c r="D299" s="56">
        <v>3.04</v>
      </c>
      <c r="E299" s="56">
        <v>0.48</v>
      </c>
      <c r="F299" s="56">
        <v>16.68</v>
      </c>
      <c r="G299" s="56">
        <v>85.2</v>
      </c>
      <c r="H299" s="56">
        <v>0.05</v>
      </c>
      <c r="I299" s="56">
        <v>0</v>
      </c>
      <c r="J299" s="56">
        <v>0</v>
      </c>
      <c r="K299" s="56">
        <v>10.5</v>
      </c>
      <c r="L299" s="56">
        <v>14</v>
      </c>
      <c r="M299" s="56">
        <v>1.17</v>
      </c>
      <c r="N299" s="56">
        <v>0.42</v>
      </c>
      <c r="O299" s="51">
        <v>47.4</v>
      </c>
    </row>
    <row r="300" spans="1:15" ht="13" thickBot="1" x14ac:dyDescent="0.8">
      <c r="A300" s="52"/>
      <c r="B300" s="53" t="s">
        <v>23</v>
      </c>
      <c r="C300" s="64">
        <f>SUM(C296:C299)</f>
        <v>540</v>
      </c>
      <c r="D300" s="64">
        <f t="shared" ref="D300:O300" si="38">SUM(D296:D299)</f>
        <v>24.639999999999997</v>
      </c>
      <c r="E300" s="64">
        <f t="shared" si="38"/>
        <v>17.88</v>
      </c>
      <c r="F300" s="64">
        <f t="shared" si="38"/>
        <v>26.479999999999997</v>
      </c>
      <c r="G300" s="64">
        <f t="shared" si="38"/>
        <v>497.2</v>
      </c>
      <c r="H300" s="64">
        <f t="shared" si="38"/>
        <v>0.13</v>
      </c>
      <c r="I300" s="64">
        <f t="shared" si="38"/>
        <v>27.169999999999998</v>
      </c>
      <c r="J300" s="64">
        <f t="shared" si="38"/>
        <v>0.02</v>
      </c>
      <c r="K300" s="64">
        <f t="shared" si="38"/>
        <v>75.42</v>
      </c>
      <c r="L300" s="64">
        <f t="shared" si="38"/>
        <v>41.3</v>
      </c>
      <c r="M300" s="64">
        <f t="shared" si="38"/>
        <v>5.4799999999999995</v>
      </c>
      <c r="N300" s="64">
        <f t="shared" si="38"/>
        <v>0.87</v>
      </c>
      <c r="O300" s="128">
        <f t="shared" si="38"/>
        <v>190.77</v>
      </c>
    </row>
    <row r="301" spans="1:15" ht="13" thickBot="1" x14ac:dyDescent="0.8">
      <c r="A301" s="117"/>
      <c r="B301" s="15" t="s">
        <v>72</v>
      </c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1"/>
    </row>
    <row r="302" spans="1:15" ht="13" thickBot="1" x14ac:dyDescent="0.8">
      <c r="A302" s="93"/>
      <c r="B302" s="36" t="s">
        <v>37</v>
      </c>
      <c r="C302" s="94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1"/>
    </row>
    <row r="303" spans="1:15" x14ac:dyDescent="0.65">
      <c r="A303" s="28">
        <v>302</v>
      </c>
      <c r="B303" s="55" t="s">
        <v>127</v>
      </c>
      <c r="C303" s="30">
        <v>250</v>
      </c>
      <c r="D303" s="30">
        <f>2.8/100*205</f>
        <v>5.7399999999999993</v>
      </c>
      <c r="E303" s="30">
        <f>5.2/100*205</f>
        <v>10.66</v>
      </c>
      <c r="F303" s="30">
        <f>13.2/100*205</f>
        <v>27.060000000000002</v>
      </c>
      <c r="G303" s="30">
        <f>115/100*205</f>
        <v>235.74999999999997</v>
      </c>
      <c r="H303" s="30">
        <v>0.18</v>
      </c>
      <c r="I303" s="30">
        <v>1.42</v>
      </c>
      <c r="J303" s="30">
        <v>0.08</v>
      </c>
      <c r="K303" s="30">
        <v>174.6</v>
      </c>
      <c r="L303" s="30">
        <v>71</v>
      </c>
      <c r="M303" s="30">
        <v>1.7</v>
      </c>
      <c r="N303" s="30">
        <v>0.8</v>
      </c>
      <c r="O303" s="31">
        <v>261.60000000000002</v>
      </c>
    </row>
    <row r="304" spans="1:15" ht="13" thickBot="1" x14ac:dyDescent="0.8">
      <c r="A304" s="23">
        <v>631</v>
      </c>
      <c r="B304" s="49" t="s">
        <v>112</v>
      </c>
      <c r="C304" s="56">
        <v>250</v>
      </c>
      <c r="D304" s="56">
        <v>0.2</v>
      </c>
      <c r="E304" s="56">
        <v>0</v>
      </c>
      <c r="F304" s="56">
        <v>34.4</v>
      </c>
      <c r="G304" s="56">
        <v>146</v>
      </c>
      <c r="H304" s="56">
        <v>0.01</v>
      </c>
      <c r="I304" s="56">
        <v>2.1</v>
      </c>
      <c r="J304" s="56">
        <v>0</v>
      </c>
      <c r="K304" s="56">
        <v>11</v>
      </c>
      <c r="L304" s="56">
        <v>7</v>
      </c>
      <c r="M304" s="56">
        <v>0.7</v>
      </c>
      <c r="N304" s="56">
        <v>0.1</v>
      </c>
      <c r="O304" s="51">
        <v>8</v>
      </c>
    </row>
    <row r="305" spans="1:15" ht="13" thickBot="1" x14ac:dyDescent="0.8">
      <c r="A305" s="52"/>
      <c r="B305" s="53" t="s">
        <v>23</v>
      </c>
      <c r="C305" s="64">
        <f>SUM(C303:C304)</f>
        <v>500</v>
      </c>
      <c r="D305" s="64">
        <f t="shared" ref="D305:O305" si="39">SUM(D303:D304)</f>
        <v>5.9399999999999995</v>
      </c>
      <c r="E305" s="64">
        <f t="shared" si="39"/>
        <v>10.66</v>
      </c>
      <c r="F305" s="64">
        <f t="shared" si="39"/>
        <v>61.46</v>
      </c>
      <c r="G305" s="64">
        <f t="shared" si="39"/>
        <v>381.75</v>
      </c>
      <c r="H305" s="64">
        <f t="shared" si="39"/>
        <v>0.19</v>
      </c>
      <c r="I305" s="64">
        <f t="shared" si="39"/>
        <v>3.52</v>
      </c>
      <c r="J305" s="64">
        <f t="shared" si="39"/>
        <v>0.08</v>
      </c>
      <c r="K305" s="64">
        <f t="shared" si="39"/>
        <v>185.6</v>
      </c>
      <c r="L305" s="64">
        <f t="shared" si="39"/>
        <v>78</v>
      </c>
      <c r="M305" s="64">
        <f t="shared" si="39"/>
        <v>2.4</v>
      </c>
      <c r="N305" s="64">
        <f t="shared" si="39"/>
        <v>0.9</v>
      </c>
      <c r="O305" s="128">
        <f t="shared" si="39"/>
        <v>269.60000000000002</v>
      </c>
    </row>
    <row r="306" spans="1:15" ht="13" thickBot="1" x14ac:dyDescent="0.8">
      <c r="A306" s="18"/>
      <c r="B306" s="130" t="s">
        <v>38</v>
      </c>
      <c r="C306" s="2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2"/>
    </row>
    <row r="307" spans="1:15" x14ac:dyDescent="0.65">
      <c r="A307" s="28">
        <v>492</v>
      </c>
      <c r="B307" s="55" t="s">
        <v>93</v>
      </c>
      <c r="C307" s="30">
        <v>250</v>
      </c>
      <c r="D307" s="30">
        <v>11.4</v>
      </c>
      <c r="E307" s="30">
        <v>9.75</v>
      </c>
      <c r="F307" s="30">
        <v>27.1</v>
      </c>
      <c r="G307" s="30">
        <v>292</v>
      </c>
      <c r="H307" s="30">
        <v>0.06</v>
      </c>
      <c r="I307" s="30">
        <v>0</v>
      </c>
      <c r="J307" s="30">
        <v>21</v>
      </c>
      <c r="K307" s="30">
        <v>4.8600000000000003</v>
      </c>
      <c r="L307" s="30">
        <v>21.12</v>
      </c>
      <c r="M307" s="30">
        <v>1.1100000000000001</v>
      </c>
      <c r="N307" s="30">
        <v>0</v>
      </c>
      <c r="O307" s="31">
        <v>37.17</v>
      </c>
    </row>
    <row r="308" spans="1:15" x14ac:dyDescent="0.65">
      <c r="A308" s="28"/>
      <c r="B308" s="29" t="s">
        <v>27</v>
      </c>
      <c r="C308" s="30">
        <v>30</v>
      </c>
      <c r="D308" s="30">
        <v>3</v>
      </c>
      <c r="E308" s="30">
        <v>1</v>
      </c>
      <c r="F308" s="30">
        <v>2</v>
      </c>
      <c r="G308" s="30">
        <v>22</v>
      </c>
      <c r="H308" s="30">
        <v>7.0000000000000007E-2</v>
      </c>
      <c r="I308" s="30">
        <v>0.4</v>
      </c>
      <c r="J308" s="30">
        <v>0.02</v>
      </c>
      <c r="K308" s="30">
        <v>35</v>
      </c>
      <c r="L308" s="30">
        <v>23</v>
      </c>
      <c r="M308" s="30">
        <v>0.6</v>
      </c>
      <c r="N308" s="30">
        <v>1</v>
      </c>
      <c r="O308" s="31">
        <v>160</v>
      </c>
    </row>
    <row r="309" spans="1:15" x14ac:dyDescent="0.65">
      <c r="A309" s="28">
        <v>350</v>
      </c>
      <c r="B309" s="29" t="s">
        <v>122</v>
      </c>
      <c r="C309" s="30">
        <v>250</v>
      </c>
      <c r="D309" s="30">
        <v>4.4000000000000004</v>
      </c>
      <c r="E309" s="30">
        <v>0.12</v>
      </c>
      <c r="F309" s="30">
        <v>38.619999999999997</v>
      </c>
      <c r="G309" s="30">
        <v>157.6</v>
      </c>
      <c r="H309" s="30">
        <v>0</v>
      </c>
      <c r="I309" s="30">
        <v>0</v>
      </c>
      <c r="J309" s="30">
        <v>0</v>
      </c>
      <c r="K309" s="30">
        <v>1</v>
      </c>
      <c r="L309" s="30">
        <v>0</v>
      </c>
      <c r="M309" s="30">
        <v>0.1</v>
      </c>
      <c r="N309" s="30">
        <v>0</v>
      </c>
      <c r="O309" s="31">
        <v>0</v>
      </c>
    </row>
    <row r="310" spans="1:15" ht="13" thickBot="1" x14ac:dyDescent="0.8">
      <c r="A310" s="23"/>
      <c r="B310" s="49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1"/>
    </row>
    <row r="311" spans="1:15" ht="13" thickBot="1" x14ac:dyDescent="0.8">
      <c r="A311" s="52"/>
      <c r="B311" s="53" t="s">
        <v>23</v>
      </c>
      <c r="C311" s="64">
        <f>SUM(C307:C310)</f>
        <v>530</v>
      </c>
      <c r="D311" s="64">
        <f t="shared" ref="D311:O311" si="40">SUM(D307:D310)</f>
        <v>18.8</v>
      </c>
      <c r="E311" s="64">
        <f t="shared" si="40"/>
        <v>10.87</v>
      </c>
      <c r="F311" s="64">
        <f t="shared" si="40"/>
        <v>67.72</v>
      </c>
      <c r="G311" s="64">
        <f t="shared" si="40"/>
        <v>471.6</v>
      </c>
      <c r="H311" s="64">
        <f t="shared" si="40"/>
        <v>0.13</v>
      </c>
      <c r="I311" s="64">
        <f t="shared" si="40"/>
        <v>0.4</v>
      </c>
      <c r="J311" s="64">
        <f t="shared" si="40"/>
        <v>21.02</v>
      </c>
      <c r="K311" s="64">
        <f t="shared" si="40"/>
        <v>40.86</v>
      </c>
      <c r="L311" s="64">
        <f t="shared" si="40"/>
        <v>44.120000000000005</v>
      </c>
      <c r="M311" s="64">
        <f t="shared" si="40"/>
        <v>1.81</v>
      </c>
      <c r="N311" s="64">
        <f t="shared" si="40"/>
        <v>1</v>
      </c>
      <c r="O311" s="128">
        <f t="shared" si="40"/>
        <v>197.17000000000002</v>
      </c>
    </row>
    <row r="312" spans="1:15" ht="13" thickBot="1" x14ac:dyDescent="0.8">
      <c r="A312" s="18"/>
      <c r="B312" s="36" t="s">
        <v>39</v>
      </c>
      <c r="C312" s="2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2"/>
    </row>
    <row r="313" spans="1:15" x14ac:dyDescent="0.65">
      <c r="A313" s="28">
        <v>71</v>
      </c>
      <c r="B313" s="55" t="s">
        <v>29</v>
      </c>
      <c r="C313" s="30">
        <v>100</v>
      </c>
      <c r="D313" s="30">
        <v>1.4</v>
      </c>
      <c r="E313" s="30">
        <v>10.1</v>
      </c>
      <c r="F313" s="30">
        <v>6.8</v>
      </c>
      <c r="G313" s="30">
        <v>124</v>
      </c>
      <c r="H313" s="30">
        <v>0.03</v>
      </c>
      <c r="I313" s="30">
        <v>16.2</v>
      </c>
      <c r="J313" s="30">
        <v>0</v>
      </c>
      <c r="K313" s="30">
        <v>0</v>
      </c>
      <c r="L313" s="30">
        <v>12.81</v>
      </c>
      <c r="M313" s="30">
        <v>20.13</v>
      </c>
      <c r="N313" s="30">
        <v>24.1</v>
      </c>
      <c r="O313" s="31">
        <v>0.53</v>
      </c>
    </row>
    <row r="314" spans="1:15" x14ac:dyDescent="0.65">
      <c r="A314" s="28">
        <v>110</v>
      </c>
      <c r="B314" s="29" t="s">
        <v>92</v>
      </c>
      <c r="C314" s="30">
        <v>250</v>
      </c>
      <c r="D314" s="30">
        <v>2</v>
      </c>
      <c r="E314" s="30">
        <v>5.2</v>
      </c>
      <c r="F314" s="30">
        <v>13.1</v>
      </c>
      <c r="G314" s="30">
        <v>106</v>
      </c>
      <c r="H314" s="30">
        <v>7.0000000000000007E-2</v>
      </c>
      <c r="I314" s="30">
        <v>10.6</v>
      </c>
      <c r="J314" s="30">
        <v>0</v>
      </c>
      <c r="K314" s="30">
        <v>41.2</v>
      </c>
      <c r="L314" s="30">
        <v>22.3</v>
      </c>
      <c r="M314" s="30">
        <v>0.98099999999999998</v>
      </c>
      <c r="N314" s="30">
        <v>3.2</v>
      </c>
      <c r="O314" s="31">
        <v>94</v>
      </c>
    </row>
    <row r="315" spans="1:15" x14ac:dyDescent="0.65">
      <c r="A315" s="28">
        <v>332</v>
      </c>
      <c r="B315" s="29" t="s">
        <v>97</v>
      </c>
      <c r="C315" s="30">
        <v>180</v>
      </c>
      <c r="D315" s="30">
        <v>5.25</v>
      </c>
      <c r="E315" s="30">
        <v>6.15</v>
      </c>
      <c r="F315" s="30">
        <v>35.200000000000003</v>
      </c>
      <c r="G315" s="30">
        <v>220</v>
      </c>
      <c r="H315" s="30">
        <v>0.06</v>
      </c>
      <c r="I315" s="30">
        <v>0</v>
      </c>
      <c r="J315" s="30">
        <v>21</v>
      </c>
      <c r="K315" s="30">
        <v>4.8600000000000003</v>
      </c>
      <c r="L315" s="30">
        <v>21.12</v>
      </c>
      <c r="M315" s="30">
        <v>1.1100000000000001</v>
      </c>
      <c r="N315" s="30">
        <v>0</v>
      </c>
      <c r="O315" s="31">
        <v>37.17</v>
      </c>
    </row>
    <row r="316" spans="1:15" x14ac:dyDescent="0.65">
      <c r="A316" s="28">
        <v>463</v>
      </c>
      <c r="B316" s="29" t="s">
        <v>126</v>
      </c>
      <c r="C316" s="30">
        <v>100</v>
      </c>
      <c r="D316" s="30">
        <v>9.1999999999999993</v>
      </c>
      <c r="E316" s="30">
        <v>18.100000000000001</v>
      </c>
      <c r="F316" s="30">
        <v>10</v>
      </c>
      <c r="G316" s="30">
        <v>240</v>
      </c>
      <c r="H316" s="30">
        <v>0.05</v>
      </c>
      <c r="I316" s="30">
        <v>0</v>
      </c>
      <c r="J316" s="30">
        <v>0</v>
      </c>
      <c r="K316" s="30">
        <v>0</v>
      </c>
      <c r="L316" s="30">
        <v>19</v>
      </c>
      <c r="M316" s="30">
        <v>23.4</v>
      </c>
      <c r="N316" s="30">
        <v>142.69999999999999</v>
      </c>
      <c r="O316" s="31">
        <v>0</v>
      </c>
    </row>
    <row r="317" spans="1:15" x14ac:dyDescent="0.65">
      <c r="A317" s="28">
        <v>685</v>
      </c>
      <c r="B317" s="29" t="s">
        <v>140</v>
      </c>
      <c r="C317" s="30">
        <v>200</v>
      </c>
      <c r="D317" s="30">
        <v>2</v>
      </c>
      <c r="E317" s="30">
        <v>0</v>
      </c>
      <c r="F317" s="30">
        <v>0</v>
      </c>
      <c r="G317" s="30">
        <v>4.5999999999999996</v>
      </c>
      <c r="H317" s="30">
        <v>0</v>
      </c>
      <c r="I317" s="30">
        <v>0.8</v>
      </c>
      <c r="J317" s="30">
        <v>0</v>
      </c>
      <c r="K317" s="30">
        <v>10</v>
      </c>
      <c r="L317" s="30">
        <v>3</v>
      </c>
      <c r="M317" s="30">
        <v>0.6</v>
      </c>
      <c r="N317" s="30">
        <v>0</v>
      </c>
      <c r="O317" s="31">
        <v>6</v>
      </c>
    </row>
    <row r="318" spans="1:15" ht="13" thickBot="1" x14ac:dyDescent="0.8">
      <c r="A318" s="23"/>
      <c r="B318" s="49" t="s">
        <v>27</v>
      </c>
      <c r="C318" s="56">
        <v>60</v>
      </c>
      <c r="D318" s="56">
        <v>6</v>
      </c>
      <c r="E318" s="56">
        <v>2</v>
      </c>
      <c r="F318" s="56">
        <v>4</v>
      </c>
      <c r="G318" s="56">
        <v>44</v>
      </c>
      <c r="H318" s="56">
        <v>0.05</v>
      </c>
      <c r="I318" s="56">
        <v>0</v>
      </c>
      <c r="J318" s="56">
        <v>0</v>
      </c>
      <c r="K318" s="56">
        <v>10.5</v>
      </c>
      <c r="L318" s="56">
        <v>14</v>
      </c>
      <c r="M318" s="56">
        <v>1.17</v>
      </c>
      <c r="N318" s="56">
        <v>0.42</v>
      </c>
      <c r="O318" s="51">
        <v>47.4</v>
      </c>
    </row>
    <row r="319" spans="1:15" ht="13" thickBot="1" x14ac:dyDescent="0.8">
      <c r="A319" s="52"/>
      <c r="B319" s="53" t="s">
        <v>23</v>
      </c>
      <c r="C319" s="64">
        <f>SUM(C313:C318)</f>
        <v>890</v>
      </c>
      <c r="D319" s="64">
        <f t="shared" ref="D319:O319" si="41">SUM(D313:D318)</f>
        <v>25.85</v>
      </c>
      <c r="E319" s="64">
        <f t="shared" si="41"/>
        <v>41.550000000000004</v>
      </c>
      <c r="F319" s="64">
        <f t="shared" si="41"/>
        <v>69.099999999999994</v>
      </c>
      <c r="G319" s="64">
        <f t="shared" si="41"/>
        <v>738.6</v>
      </c>
      <c r="H319" s="64">
        <f t="shared" si="41"/>
        <v>0.26</v>
      </c>
      <c r="I319" s="64">
        <f t="shared" si="41"/>
        <v>27.599999999999998</v>
      </c>
      <c r="J319" s="64">
        <f t="shared" si="41"/>
        <v>21</v>
      </c>
      <c r="K319" s="64">
        <f t="shared" si="41"/>
        <v>66.56</v>
      </c>
      <c r="L319" s="64">
        <f t="shared" si="41"/>
        <v>92.23</v>
      </c>
      <c r="M319" s="64">
        <f t="shared" si="41"/>
        <v>47.390999999999998</v>
      </c>
      <c r="N319" s="64">
        <f t="shared" si="41"/>
        <v>170.42</v>
      </c>
      <c r="O319" s="128">
        <f t="shared" si="41"/>
        <v>185.1</v>
      </c>
    </row>
    <row r="320" spans="1:15" ht="13" thickBot="1" x14ac:dyDescent="0.8">
      <c r="A320" s="18"/>
      <c r="B320" s="36" t="s">
        <v>40</v>
      </c>
      <c r="C320" s="20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2"/>
    </row>
    <row r="321" spans="1:15" x14ac:dyDescent="0.65">
      <c r="A321" s="28">
        <v>110</v>
      </c>
      <c r="B321" s="55" t="s">
        <v>92</v>
      </c>
      <c r="C321" s="30">
        <v>200</v>
      </c>
      <c r="D321" s="30">
        <v>2</v>
      </c>
      <c r="E321" s="30">
        <v>5.2</v>
      </c>
      <c r="F321" s="30">
        <v>13.1</v>
      </c>
      <c r="G321" s="30">
        <f>120/250*200</f>
        <v>96</v>
      </c>
      <c r="H321" s="30">
        <v>0.05</v>
      </c>
      <c r="I321" s="30">
        <v>9.9499999999999993</v>
      </c>
      <c r="J321" s="30">
        <v>0</v>
      </c>
      <c r="K321" s="30">
        <v>36.200000000000003</v>
      </c>
      <c r="L321" s="30">
        <v>19.5</v>
      </c>
      <c r="M321" s="30">
        <v>0.72</v>
      </c>
      <c r="N321" s="30">
        <v>2.4</v>
      </c>
      <c r="O321" s="31">
        <v>87</v>
      </c>
    </row>
    <row r="322" spans="1:15" x14ac:dyDescent="0.65">
      <c r="A322" s="28">
        <v>332</v>
      </c>
      <c r="B322" s="29" t="s">
        <v>97</v>
      </c>
      <c r="C322" s="30">
        <v>150</v>
      </c>
      <c r="D322" s="30">
        <f>2.1/100*150</f>
        <v>3.1500000000000004</v>
      </c>
      <c r="E322" s="30">
        <f>6.4/100*150</f>
        <v>9.6</v>
      </c>
      <c r="F322" s="30">
        <f>18.5/100*150</f>
        <v>27.75</v>
      </c>
      <c r="G322" s="30">
        <v>106</v>
      </c>
      <c r="H322" s="30">
        <v>0.5</v>
      </c>
      <c r="I322" s="30">
        <v>21.3</v>
      </c>
      <c r="J322" s="30">
        <v>0.01</v>
      </c>
      <c r="K322" s="30">
        <v>81.3</v>
      </c>
      <c r="L322" s="30">
        <v>27</v>
      </c>
      <c r="M322" s="30">
        <v>0.9</v>
      </c>
      <c r="N322" s="30">
        <v>0.9</v>
      </c>
      <c r="O322" s="31">
        <v>72.599999999999994</v>
      </c>
    </row>
    <row r="323" spans="1:15" x14ac:dyDescent="0.65">
      <c r="A323" s="28">
        <v>63</v>
      </c>
      <c r="B323" s="29" t="s">
        <v>126</v>
      </c>
      <c r="C323" s="30">
        <v>90</v>
      </c>
      <c r="D323" s="30">
        <v>4.5999999999999996</v>
      </c>
      <c r="E323" s="30">
        <v>9.0500000000000007</v>
      </c>
      <c r="F323" s="30">
        <v>5</v>
      </c>
      <c r="G323" s="30">
        <v>120</v>
      </c>
      <c r="H323" s="30">
        <v>0.2</v>
      </c>
      <c r="I323" s="30">
        <v>2.9</v>
      </c>
      <c r="J323" s="30">
        <v>0</v>
      </c>
      <c r="K323" s="30">
        <v>25.3</v>
      </c>
      <c r="L323" s="30">
        <v>14.5</v>
      </c>
      <c r="M323" s="30">
        <v>0.8</v>
      </c>
      <c r="N323" s="30">
        <v>0.02</v>
      </c>
      <c r="O323" s="31">
        <v>112.5</v>
      </c>
    </row>
    <row r="324" spans="1:15" x14ac:dyDescent="0.65">
      <c r="A324" s="28">
        <v>685</v>
      </c>
      <c r="B324" s="29" t="s">
        <v>24</v>
      </c>
      <c r="C324" s="30">
        <v>200</v>
      </c>
      <c r="D324" s="30">
        <v>0.2</v>
      </c>
      <c r="E324" s="30">
        <v>0</v>
      </c>
      <c r="F324" s="30">
        <v>0</v>
      </c>
      <c r="G324" s="30">
        <v>4.5999999999999996</v>
      </c>
      <c r="H324" s="30">
        <v>0</v>
      </c>
      <c r="I324" s="30">
        <v>0.8</v>
      </c>
      <c r="J324" s="30">
        <v>0</v>
      </c>
      <c r="K324" s="30">
        <v>10</v>
      </c>
      <c r="L324" s="30">
        <v>3</v>
      </c>
      <c r="M324" s="30">
        <v>0.6</v>
      </c>
      <c r="N324" s="30">
        <v>0</v>
      </c>
      <c r="O324" s="31">
        <v>6</v>
      </c>
    </row>
    <row r="325" spans="1:15" x14ac:dyDescent="0.65">
      <c r="A325" s="28"/>
      <c r="B325" s="29" t="s">
        <v>27</v>
      </c>
      <c r="C325" s="30">
        <v>40</v>
      </c>
      <c r="D325" s="30">
        <v>3.04</v>
      </c>
      <c r="E325" s="30">
        <v>0.48</v>
      </c>
      <c r="F325" s="30">
        <v>16.68</v>
      </c>
      <c r="G325" s="30">
        <v>85.2</v>
      </c>
      <c r="H325" s="30">
        <v>0.05</v>
      </c>
      <c r="I325" s="30">
        <v>0</v>
      </c>
      <c r="J325" s="30">
        <v>0</v>
      </c>
      <c r="K325" s="30">
        <v>10.5</v>
      </c>
      <c r="L325" s="30">
        <v>14</v>
      </c>
      <c r="M325" s="30">
        <v>1.17</v>
      </c>
      <c r="N325" s="30">
        <v>0.42</v>
      </c>
      <c r="O325" s="31">
        <v>47.4</v>
      </c>
    </row>
    <row r="326" spans="1:15" ht="13" thickBot="1" x14ac:dyDescent="0.8">
      <c r="A326" s="23"/>
      <c r="B326" s="49" t="s">
        <v>46</v>
      </c>
      <c r="C326" s="56">
        <v>50</v>
      </c>
      <c r="D326" s="56">
        <v>4.7</v>
      </c>
      <c r="E326" s="56">
        <v>5.7</v>
      </c>
      <c r="F326" s="56">
        <v>37</v>
      </c>
      <c r="G326" s="56">
        <v>218</v>
      </c>
      <c r="H326" s="56">
        <v>0.06</v>
      </c>
      <c r="I326" s="56">
        <v>0</v>
      </c>
      <c r="J326" s="56">
        <v>0.05</v>
      </c>
      <c r="K326" s="56">
        <v>15</v>
      </c>
      <c r="L326" s="56">
        <v>7</v>
      </c>
      <c r="M326" s="56">
        <v>0.6</v>
      </c>
      <c r="N326" s="56">
        <v>0.7</v>
      </c>
      <c r="O326" s="51">
        <v>42</v>
      </c>
    </row>
    <row r="327" spans="1:15" ht="13" thickBot="1" x14ac:dyDescent="0.8">
      <c r="A327" s="52"/>
      <c r="B327" s="53" t="s">
        <v>23</v>
      </c>
      <c r="C327" s="64">
        <f>SUM(C321:C326)</f>
        <v>730</v>
      </c>
      <c r="D327" s="64">
        <f t="shared" ref="D327:O327" si="42">SUM(D321:D326)</f>
        <v>17.689999999999998</v>
      </c>
      <c r="E327" s="64">
        <f t="shared" si="42"/>
        <v>30.03</v>
      </c>
      <c r="F327" s="64">
        <f t="shared" si="42"/>
        <v>99.53</v>
      </c>
      <c r="G327" s="64">
        <f t="shared" si="42"/>
        <v>629.79999999999995</v>
      </c>
      <c r="H327" s="64">
        <f t="shared" si="42"/>
        <v>0.8600000000000001</v>
      </c>
      <c r="I327" s="64">
        <f t="shared" si="42"/>
        <v>34.949999999999996</v>
      </c>
      <c r="J327" s="64">
        <f t="shared" si="42"/>
        <v>6.0000000000000005E-2</v>
      </c>
      <c r="K327" s="64">
        <f t="shared" si="42"/>
        <v>178.3</v>
      </c>
      <c r="L327" s="64">
        <f t="shared" si="42"/>
        <v>85</v>
      </c>
      <c r="M327" s="64">
        <f t="shared" si="42"/>
        <v>4.7899999999999991</v>
      </c>
      <c r="N327" s="64">
        <f t="shared" si="42"/>
        <v>4.4399999999999995</v>
      </c>
      <c r="O327" s="128">
        <f t="shared" si="42"/>
        <v>367.5</v>
      </c>
    </row>
    <row r="328" spans="1:15" ht="13" thickBot="1" x14ac:dyDescent="0.8">
      <c r="A328" s="18"/>
      <c r="B328" s="36" t="s">
        <v>43</v>
      </c>
      <c r="C328" s="2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2"/>
    </row>
    <row r="329" spans="1:15" x14ac:dyDescent="0.65">
      <c r="A329" s="28">
        <v>203</v>
      </c>
      <c r="B329" s="55" t="s">
        <v>80</v>
      </c>
      <c r="C329" s="30">
        <v>180</v>
      </c>
      <c r="D329" s="30">
        <f>2/100*180</f>
        <v>3.6</v>
      </c>
      <c r="E329" s="30">
        <f>5.1/100*180</f>
        <v>9.18</v>
      </c>
      <c r="F329" s="30">
        <f>15.9/100*180</f>
        <v>28.62</v>
      </c>
      <c r="G329" s="30">
        <f>121/100*180</f>
        <v>217.79999999999998</v>
      </c>
      <c r="H329" s="30">
        <v>0.09</v>
      </c>
      <c r="I329" s="30">
        <v>32.700000000000003</v>
      </c>
      <c r="J329" s="30">
        <v>7.0000000000000007E-2</v>
      </c>
      <c r="K329" s="30">
        <v>121.5</v>
      </c>
      <c r="L329" s="30">
        <v>42</v>
      </c>
      <c r="M329" s="30">
        <v>2.1</v>
      </c>
      <c r="N329" s="30">
        <v>2.2000000000000002</v>
      </c>
      <c r="O329" s="31">
        <v>92.3</v>
      </c>
    </row>
    <row r="330" spans="1:15" x14ac:dyDescent="0.65">
      <c r="A330" s="28">
        <v>437</v>
      </c>
      <c r="B330" s="29" t="s">
        <v>94</v>
      </c>
      <c r="C330" s="30">
        <v>100</v>
      </c>
      <c r="D330" s="30">
        <v>22.3</v>
      </c>
      <c r="E330" s="30">
        <v>19.5</v>
      </c>
      <c r="F330" s="30">
        <v>6.02</v>
      </c>
      <c r="G330" s="30">
        <v>181.3</v>
      </c>
      <c r="H330" s="30">
        <v>0.2</v>
      </c>
      <c r="I330" s="30">
        <v>1.41</v>
      </c>
      <c r="J330" s="30">
        <v>0</v>
      </c>
      <c r="K330" s="30">
        <v>0</v>
      </c>
      <c r="L330" s="30">
        <v>29.5</v>
      </c>
      <c r="M330" s="30">
        <v>27.6</v>
      </c>
      <c r="N330" s="30">
        <v>201.8</v>
      </c>
      <c r="O330" s="31">
        <v>3.5</v>
      </c>
    </row>
    <row r="331" spans="1:15" x14ac:dyDescent="0.65">
      <c r="A331" s="28">
        <v>685</v>
      </c>
      <c r="B331" s="29" t="s">
        <v>24</v>
      </c>
      <c r="C331" s="30">
        <v>200</v>
      </c>
      <c r="D331" s="30">
        <v>0.2</v>
      </c>
      <c r="E331" s="30">
        <v>0</v>
      </c>
      <c r="F331" s="30">
        <v>0</v>
      </c>
      <c r="G331" s="30">
        <v>4.5999999999999996</v>
      </c>
      <c r="H331" s="30">
        <v>0.04</v>
      </c>
      <c r="I331" s="30">
        <v>1.3</v>
      </c>
      <c r="J331" s="30">
        <v>0.01</v>
      </c>
      <c r="K331" s="30">
        <v>127</v>
      </c>
      <c r="L331" s="30">
        <v>15</v>
      </c>
      <c r="M331" s="30">
        <v>0.4</v>
      </c>
      <c r="N331" s="30">
        <v>0</v>
      </c>
      <c r="O331" s="31">
        <v>93</v>
      </c>
    </row>
    <row r="332" spans="1:15" ht="13" thickBot="1" x14ac:dyDescent="0.8">
      <c r="A332" s="23"/>
      <c r="B332" s="49" t="s">
        <v>27</v>
      </c>
      <c r="C332" s="56">
        <v>40</v>
      </c>
      <c r="D332" s="56">
        <v>3.04</v>
      </c>
      <c r="E332" s="56">
        <v>0.48</v>
      </c>
      <c r="F332" s="56">
        <v>16.68</v>
      </c>
      <c r="G332" s="56">
        <v>85.2</v>
      </c>
      <c r="H332" s="56">
        <v>0.05</v>
      </c>
      <c r="I332" s="56">
        <v>0</v>
      </c>
      <c r="J332" s="56">
        <v>0</v>
      </c>
      <c r="K332" s="56">
        <v>10.5</v>
      </c>
      <c r="L332" s="56">
        <v>14</v>
      </c>
      <c r="M332" s="56">
        <v>1.17</v>
      </c>
      <c r="N332" s="56">
        <v>0.42</v>
      </c>
      <c r="O332" s="51">
        <v>47.4</v>
      </c>
    </row>
    <row r="333" spans="1:15" ht="13" thickBot="1" x14ac:dyDescent="0.8">
      <c r="A333" s="52"/>
      <c r="B333" s="53" t="s">
        <v>23</v>
      </c>
      <c r="C333" s="64">
        <f>SUM(C329:C332)</f>
        <v>520</v>
      </c>
      <c r="D333" s="64">
        <f t="shared" ref="D333:O333" si="43">SUM(D329:D332)</f>
        <v>29.14</v>
      </c>
      <c r="E333" s="64">
        <f t="shared" si="43"/>
        <v>29.16</v>
      </c>
      <c r="F333" s="64">
        <f t="shared" si="43"/>
        <v>51.32</v>
      </c>
      <c r="G333" s="64">
        <f t="shared" si="43"/>
        <v>488.90000000000003</v>
      </c>
      <c r="H333" s="64">
        <f t="shared" si="43"/>
        <v>0.38</v>
      </c>
      <c r="I333" s="64">
        <f t="shared" si="43"/>
        <v>35.409999999999997</v>
      </c>
      <c r="J333" s="64">
        <f t="shared" si="43"/>
        <v>0.08</v>
      </c>
      <c r="K333" s="64">
        <f t="shared" si="43"/>
        <v>259</v>
      </c>
      <c r="L333" s="64">
        <f t="shared" si="43"/>
        <v>100.5</v>
      </c>
      <c r="M333" s="64">
        <f t="shared" si="43"/>
        <v>31.270000000000003</v>
      </c>
      <c r="N333" s="64">
        <f t="shared" si="43"/>
        <v>204.42</v>
      </c>
      <c r="O333" s="128">
        <f t="shared" si="43"/>
        <v>236.20000000000002</v>
      </c>
    </row>
    <row r="334" spans="1:15" ht="13" thickBot="1" x14ac:dyDescent="0.8">
      <c r="A334" s="117"/>
      <c r="B334" s="15" t="s">
        <v>73</v>
      </c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1"/>
    </row>
    <row r="335" spans="1:15" ht="13" thickBot="1" x14ac:dyDescent="0.8">
      <c r="A335" s="93"/>
      <c r="B335" s="36" t="s">
        <v>37</v>
      </c>
      <c r="C335" s="94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1"/>
    </row>
    <row r="336" spans="1:15" x14ac:dyDescent="0.65">
      <c r="A336" s="28">
        <v>302</v>
      </c>
      <c r="B336" s="55" t="s">
        <v>100</v>
      </c>
      <c r="C336" s="30">
        <v>250</v>
      </c>
      <c r="D336" s="30">
        <f>3/100*205</f>
        <v>6.1499999999999995</v>
      </c>
      <c r="E336" s="30">
        <f>4.1/100*205</f>
        <v>8.4049999999999994</v>
      </c>
      <c r="F336" s="30">
        <f>16.6/100*205</f>
        <v>34.03</v>
      </c>
      <c r="G336" s="30">
        <f>119/100*205</f>
        <v>243.95</v>
      </c>
      <c r="H336" s="30">
        <v>0.14000000000000001</v>
      </c>
      <c r="I336" s="30">
        <v>1.38</v>
      </c>
      <c r="J336" s="30">
        <v>8.4000000000000005E-2</v>
      </c>
      <c r="K336" s="30">
        <v>163.6</v>
      </c>
      <c r="L336" s="30">
        <v>50</v>
      </c>
      <c r="M336" s="30">
        <v>2.38</v>
      </c>
      <c r="N336" s="30">
        <v>0</v>
      </c>
      <c r="O336" s="31">
        <v>228.3</v>
      </c>
    </row>
    <row r="337" spans="1:15" ht="13" thickBot="1" x14ac:dyDescent="0.8">
      <c r="A337" s="23">
        <v>686</v>
      </c>
      <c r="B337" s="49" t="s">
        <v>41</v>
      </c>
      <c r="C337" s="56">
        <v>250</v>
      </c>
      <c r="D337" s="56">
        <v>0.3</v>
      </c>
      <c r="E337" s="56">
        <v>0</v>
      </c>
      <c r="F337" s="56">
        <v>15.2</v>
      </c>
      <c r="G337" s="56">
        <v>60</v>
      </c>
      <c r="H337" s="56">
        <v>0</v>
      </c>
      <c r="I337" s="56">
        <v>2.8</v>
      </c>
      <c r="J337" s="56">
        <v>0</v>
      </c>
      <c r="K337" s="56">
        <v>14.2</v>
      </c>
      <c r="L337" s="56">
        <v>2</v>
      </c>
      <c r="M337" s="56">
        <v>0.4</v>
      </c>
      <c r="N337" s="56">
        <v>0</v>
      </c>
      <c r="O337" s="51">
        <v>4</v>
      </c>
    </row>
    <row r="338" spans="1:15" ht="13" thickBot="1" x14ac:dyDescent="0.8">
      <c r="A338" s="52"/>
      <c r="B338" s="53" t="s">
        <v>23</v>
      </c>
      <c r="C338" s="64">
        <f>SUM(C336:C337)</f>
        <v>500</v>
      </c>
      <c r="D338" s="64">
        <f t="shared" ref="D338:O338" si="44">SUM(D336:D337)</f>
        <v>6.4499999999999993</v>
      </c>
      <c r="E338" s="64">
        <f t="shared" si="44"/>
        <v>8.4049999999999994</v>
      </c>
      <c r="F338" s="64">
        <f t="shared" si="44"/>
        <v>49.230000000000004</v>
      </c>
      <c r="G338" s="64">
        <f t="shared" si="44"/>
        <v>303.95</v>
      </c>
      <c r="H338" s="64">
        <f t="shared" si="44"/>
        <v>0.14000000000000001</v>
      </c>
      <c r="I338" s="64">
        <f t="shared" si="44"/>
        <v>4.18</v>
      </c>
      <c r="J338" s="64">
        <f t="shared" si="44"/>
        <v>8.4000000000000005E-2</v>
      </c>
      <c r="K338" s="64">
        <f t="shared" si="44"/>
        <v>177.79999999999998</v>
      </c>
      <c r="L338" s="64">
        <f t="shared" si="44"/>
        <v>52</v>
      </c>
      <c r="M338" s="64">
        <f t="shared" si="44"/>
        <v>2.78</v>
      </c>
      <c r="N338" s="64">
        <f t="shared" si="44"/>
        <v>0</v>
      </c>
      <c r="O338" s="128">
        <f t="shared" si="44"/>
        <v>232.3</v>
      </c>
    </row>
    <row r="339" spans="1:15" ht="13" thickBot="1" x14ac:dyDescent="0.8">
      <c r="A339" s="18"/>
      <c r="B339" s="36" t="s">
        <v>38</v>
      </c>
      <c r="C339" s="20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2"/>
    </row>
    <row r="340" spans="1:15" x14ac:dyDescent="0.65">
      <c r="A340" s="28">
        <v>302</v>
      </c>
      <c r="B340" s="55" t="s">
        <v>103</v>
      </c>
      <c r="C340" s="30">
        <v>250</v>
      </c>
      <c r="D340" s="30">
        <f>2.4/100*205</f>
        <v>4.92</v>
      </c>
      <c r="E340" s="30">
        <f>4.1/100*205</f>
        <v>8.4049999999999994</v>
      </c>
      <c r="F340" s="30">
        <f>15.2/100*205</f>
        <v>31.16</v>
      </c>
      <c r="G340" s="30">
        <f>111/100*205</f>
        <v>227.55</v>
      </c>
      <c r="H340" s="30">
        <v>0.08</v>
      </c>
      <c r="I340" s="30">
        <v>1.42</v>
      </c>
      <c r="J340" s="30">
        <v>0.08</v>
      </c>
      <c r="K340" s="30">
        <v>140.6</v>
      </c>
      <c r="L340" s="30">
        <v>23</v>
      </c>
      <c r="M340" s="30">
        <v>0.56000000000000005</v>
      </c>
      <c r="N340" s="30">
        <v>0.76</v>
      </c>
      <c r="O340" s="31">
        <v>136.4</v>
      </c>
    </row>
    <row r="341" spans="1:15" x14ac:dyDescent="0.65">
      <c r="A341" s="28">
        <v>692</v>
      </c>
      <c r="B341" s="29" t="s">
        <v>88</v>
      </c>
      <c r="C341" s="30">
        <v>250</v>
      </c>
      <c r="D341" s="30">
        <v>2.5</v>
      </c>
      <c r="E341" s="30">
        <v>3.6</v>
      </c>
      <c r="F341" s="30">
        <v>28.7</v>
      </c>
      <c r="G341" s="30">
        <v>152</v>
      </c>
      <c r="H341" s="30">
        <v>0</v>
      </c>
      <c r="I341" s="30">
        <v>0.8</v>
      </c>
      <c r="J341" s="30">
        <v>0</v>
      </c>
      <c r="K341" s="30">
        <v>10</v>
      </c>
      <c r="L341" s="30">
        <v>3</v>
      </c>
      <c r="M341" s="30">
        <v>0.6</v>
      </c>
      <c r="N341" s="30">
        <v>0</v>
      </c>
      <c r="O341" s="31">
        <v>6</v>
      </c>
    </row>
    <row r="342" spans="1:15" ht="13" thickBot="1" x14ac:dyDescent="0.8">
      <c r="A342" s="23"/>
      <c r="B342" s="49" t="s">
        <v>107</v>
      </c>
      <c r="C342" s="56">
        <v>40</v>
      </c>
      <c r="D342" s="56">
        <v>3</v>
      </c>
      <c r="E342" s="56">
        <v>1</v>
      </c>
      <c r="F342" s="56">
        <v>2</v>
      </c>
      <c r="G342" s="56">
        <v>22</v>
      </c>
      <c r="H342" s="56">
        <v>2.4E-2</v>
      </c>
      <c r="I342" s="56">
        <v>0</v>
      </c>
      <c r="J342" s="56">
        <v>0</v>
      </c>
      <c r="K342" s="56">
        <v>3.3</v>
      </c>
      <c r="L342" s="56">
        <v>2.7</v>
      </c>
      <c r="M342" s="56">
        <v>0.24</v>
      </c>
      <c r="N342" s="56">
        <v>0.72</v>
      </c>
      <c r="O342" s="51">
        <v>15</v>
      </c>
    </row>
    <row r="343" spans="1:15" ht="13" thickBot="1" x14ac:dyDescent="0.8">
      <c r="A343" s="52"/>
      <c r="B343" s="53" t="s">
        <v>23</v>
      </c>
      <c r="C343" s="64">
        <f>SUM(C340:C342)</f>
        <v>540</v>
      </c>
      <c r="D343" s="64">
        <f t="shared" ref="D343:O343" si="45">SUM(D340:D342)</f>
        <v>10.42</v>
      </c>
      <c r="E343" s="64">
        <f t="shared" si="45"/>
        <v>13.004999999999999</v>
      </c>
      <c r="F343" s="64">
        <f t="shared" si="45"/>
        <v>61.86</v>
      </c>
      <c r="G343" s="64">
        <f t="shared" si="45"/>
        <v>401.55</v>
      </c>
      <c r="H343" s="64">
        <f t="shared" si="45"/>
        <v>0.10400000000000001</v>
      </c>
      <c r="I343" s="64">
        <f t="shared" si="45"/>
        <v>2.2199999999999998</v>
      </c>
      <c r="J343" s="64">
        <f t="shared" si="45"/>
        <v>0.08</v>
      </c>
      <c r="K343" s="64">
        <f t="shared" si="45"/>
        <v>153.9</v>
      </c>
      <c r="L343" s="64">
        <f t="shared" si="45"/>
        <v>28.7</v>
      </c>
      <c r="M343" s="64">
        <f t="shared" si="45"/>
        <v>1.4000000000000001</v>
      </c>
      <c r="N343" s="64">
        <f t="shared" si="45"/>
        <v>1.48</v>
      </c>
      <c r="O343" s="128">
        <f t="shared" si="45"/>
        <v>157.4</v>
      </c>
    </row>
    <row r="344" spans="1:15" ht="13" thickBot="1" x14ac:dyDescent="0.8">
      <c r="A344" s="123"/>
      <c r="B344" s="36" t="s">
        <v>39</v>
      </c>
      <c r="C344" s="129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95"/>
    </row>
    <row r="345" spans="1:15" x14ac:dyDescent="0.65">
      <c r="A345" s="28">
        <v>68</v>
      </c>
      <c r="B345" s="55" t="s">
        <v>123</v>
      </c>
      <c r="C345" s="30">
        <v>100</v>
      </c>
      <c r="D345" s="30">
        <v>17.899999999999999</v>
      </c>
      <c r="E345" s="30">
        <v>27.1</v>
      </c>
      <c r="F345" s="30">
        <v>4.4000000000000004</v>
      </c>
      <c r="G345" s="30">
        <v>334</v>
      </c>
      <c r="H345" s="30"/>
      <c r="I345" s="30"/>
      <c r="J345" s="30"/>
      <c r="K345" s="30"/>
      <c r="L345" s="30"/>
      <c r="M345" s="30"/>
      <c r="N345" s="30"/>
      <c r="O345" s="31"/>
    </row>
    <row r="346" spans="1:15" x14ac:dyDescent="0.65">
      <c r="A346" s="28">
        <v>139</v>
      </c>
      <c r="B346" s="29" t="s">
        <v>62</v>
      </c>
      <c r="C346" s="30">
        <v>250</v>
      </c>
      <c r="D346" s="30">
        <v>6.2</v>
      </c>
      <c r="E346" s="30">
        <v>5.6</v>
      </c>
      <c r="F346" s="30">
        <v>22.3</v>
      </c>
      <c r="G346" s="30">
        <v>167</v>
      </c>
      <c r="H346" s="30">
        <v>0.05</v>
      </c>
      <c r="I346" s="30">
        <v>10.29</v>
      </c>
      <c r="J346" s="30">
        <v>0</v>
      </c>
      <c r="K346" s="30">
        <v>0</v>
      </c>
      <c r="L346" s="30">
        <v>26.25</v>
      </c>
      <c r="M346" s="30">
        <v>44.38</v>
      </c>
      <c r="N346" s="30">
        <v>53.23</v>
      </c>
      <c r="O346" s="31">
        <v>1.19</v>
      </c>
    </row>
    <row r="347" spans="1:15" x14ac:dyDescent="0.65">
      <c r="A347" s="28">
        <v>520</v>
      </c>
      <c r="B347" s="29" t="s">
        <v>26</v>
      </c>
      <c r="C347" s="30">
        <v>180</v>
      </c>
      <c r="D347" s="30">
        <v>8</v>
      </c>
      <c r="E347" s="30">
        <v>12</v>
      </c>
      <c r="F347" s="30">
        <v>28</v>
      </c>
      <c r="G347" s="30">
        <v>208</v>
      </c>
      <c r="H347" s="30">
        <v>0.14000000000000001</v>
      </c>
      <c r="I347" s="30">
        <v>18.170000000000002</v>
      </c>
      <c r="J347" s="30">
        <v>25.5</v>
      </c>
      <c r="K347" s="30">
        <v>0</v>
      </c>
      <c r="L347" s="30">
        <v>27.75</v>
      </c>
      <c r="M347" s="30">
        <v>36.979999999999997</v>
      </c>
      <c r="N347" s="30">
        <v>86.6</v>
      </c>
      <c r="O347" s="31">
        <v>1.01</v>
      </c>
    </row>
    <row r="348" spans="1:15" x14ac:dyDescent="0.65">
      <c r="A348" s="28">
        <v>369</v>
      </c>
      <c r="B348" s="29" t="s">
        <v>121</v>
      </c>
      <c r="C348" s="30">
        <v>100</v>
      </c>
      <c r="D348" s="30">
        <v>9.8000000000000007</v>
      </c>
      <c r="E348" s="30">
        <v>3.4</v>
      </c>
      <c r="F348" s="30">
        <v>2.1</v>
      </c>
      <c r="G348" s="30">
        <v>80</v>
      </c>
      <c r="H348" s="30">
        <v>0.09</v>
      </c>
      <c r="I348" s="30">
        <v>0</v>
      </c>
      <c r="J348" s="30">
        <v>0.04</v>
      </c>
      <c r="K348" s="30">
        <v>39</v>
      </c>
      <c r="L348" s="30">
        <v>26</v>
      </c>
      <c r="M348" s="30">
        <v>2.8</v>
      </c>
      <c r="N348" s="30">
        <v>0.5</v>
      </c>
      <c r="O348" s="31">
        <v>186</v>
      </c>
    </row>
    <row r="349" spans="1:15" x14ac:dyDescent="0.65">
      <c r="A349" s="28">
        <v>685</v>
      </c>
      <c r="B349" s="29" t="s">
        <v>24</v>
      </c>
      <c r="C349" s="30">
        <v>250</v>
      </c>
      <c r="D349" s="30">
        <v>0.2</v>
      </c>
      <c r="E349" s="30">
        <v>0</v>
      </c>
      <c r="F349" s="30">
        <v>0</v>
      </c>
      <c r="G349" s="30">
        <v>4.5999999999999996</v>
      </c>
      <c r="H349" s="30">
        <v>0</v>
      </c>
      <c r="I349" s="30">
        <v>0</v>
      </c>
      <c r="J349" s="30">
        <v>0</v>
      </c>
      <c r="K349" s="30">
        <v>6</v>
      </c>
      <c r="L349" s="30">
        <v>0</v>
      </c>
      <c r="M349" s="30">
        <v>6.52</v>
      </c>
      <c r="N349" s="30">
        <v>0</v>
      </c>
      <c r="O349" s="31">
        <v>0</v>
      </c>
    </row>
    <row r="350" spans="1:15" ht="13" thickBot="1" x14ac:dyDescent="0.8">
      <c r="A350" s="23"/>
      <c r="B350" s="49" t="s">
        <v>27</v>
      </c>
      <c r="C350" s="56">
        <v>60</v>
      </c>
      <c r="D350" s="56">
        <v>6</v>
      </c>
      <c r="E350" s="56">
        <v>2</v>
      </c>
      <c r="F350" s="56">
        <v>4</v>
      </c>
      <c r="G350" s="56">
        <v>85.2</v>
      </c>
      <c r="H350" s="56">
        <v>0.05</v>
      </c>
      <c r="I350" s="56">
        <v>0</v>
      </c>
      <c r="J350" s="56">
        <v>0</v>
      </c>
      <c r="K350" s="56">
        <v>10.5</v>
      </c>
      <c r="L350" s="56">
        <v>14</v>
      </c>
      <c r="M350" s="56">
        <v>1.17</v>
      </c>
      <c r="N350" s="56">
        <v>0.42</v>
      </c>
      <c r="O350" s="51">
        <v>47.4</v>
      </c>
    </row>
    <row r="351" spans="1:15" ht="13" thickBot="1" x14ac:dyDescent="0.8">
      <c r="A351" s="52"/>
      <c r="B351" s="53" t="s">
        <v>23</v>
      </c>
      <c r="C351" s="64">
        <f>SUM(C345:C350)</f>
        <v>940</v>
      </c>
      <c r="D351" s="64">
        <f t="shared" ref="D351:O351" si="46">SUM(D345:D350)</f>
        <v>48.099999999999994</v>
      </c>
      <c r="E351" s="64">
        <f t="shared" si="46"/>
        <v>50.1</v>
      </c>
      <c r="F351" s="64">
        <f t="shared" si="46"/>
        <v>60.800000000000004</v>
      </c>
      <c r="G351" s="64">
        <f t="shared" si="46"/>
        <v>878.80000000000007</v>
      </c>
      <c r="H351" s="64">
        <f t="shared" si="46"/>
        <v>0.33</v>
      </c>
      <c r="I351" s="64">
        <f t="shared" si="46"/>
        <v>28.46</v>
      </c>
      <c r="J351" s="64">
        <f t="shared" si="46"/>
        <v>25.54</v>
      </c>
      <c r="K351" s="64">
        <f t="shared" si="46"/>
        <v>55.5</v>
      </c>
      <c r="L351" s="64">
        <f t="shared" si="46"/>
        <v>94</v>
      </c>
      <c r="M351" s="64">
        <f t="shared" si="46"/>
        <v>91.85</v>
      </c>
      <c r="N351" s="64">
        <f t="shared" si="46"/>
        <v>140.74999999999997</v>
      </c>
      <c r="O351" s="128">
        <f t="shared" si="46"/>
        <v>235.6</v>
      </c>
    </row>
    <row r="352" spans="1:15" ht="13" thickBot="1" x14ac:dyDescent="0.8">
      <c r="A352" s="18"/>
      <c r="B352" s="36" t="s">
        <v>40</v>
      </c>
      <c r="C352" s="2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2"/>
    </row>
    <row r="353" spans="1:15" x14ac:dyDescent="0.65">
      <c r="A353" s="28">
        <v>139</v>
      </c>
      <c r="B353" s="55" t="s">
        <v>62</v>
      </c>
      <c r="C353" s="30">
        <v>200</v>
      </c>
      <c r="D353" s="30">
        <v>6.2</v>
      </c>
      <c r="E353" s="30">
        <v>5.6</v>
      </c>
      <c r="F353" s="30">
        <v>22.3</v>
      </c>
      <c r="G353" s="30">
        <v>167</v>
      </c>
      <c r="H353" s="30">
        <v>0.05</v>
      </c>
      <c r="I353" s="30">
        <v>10.29</v>
      </c>
      <c r="J353" s="30">
        <v>0</v>
      </c>
      <c r="K353" s="30">
        <v>0</v>
      </c>
      <c r="L353" s="30">
        <v>26.25</v>
      </c>
      <c r="M353" s="30">
        <v>44.38</v>
      </c>
      <c r="N353" s="30">
        <v>52.23</v>
      </c>
      <c r="O353" s="31">
        <v>1.19</v>
      </c>
    </row>
    <row r="354" spans="1:15" x14ac:dyDescent="0.65">
      <c r="A354" s="28">
        <v>520</v>
      </c>
      <c r="B354" s="29" t="s">
        <v>26</v>
      </c>
      <c r="C354" s="30">
        <v>150</v>
      </c>
      <c r="D354" s="30">
        <v>3.78</v>
      </c>
      <c r="E354" s="30">
        <v>9.9</v>
      </c>
      <c r="F354" s="30">
        <v>26.1</v>
      </c>
      <c r="G354" s="30">
        <v>226.8</v>
      </c>
      <c r="H354" s="30"/>
      <c r="I354" s="30"/>
      <c r="J354" s="30"/>
      <c r="K354" s="30"/>
      <c r="L354" s="30"/>
      <c r="M354" s="30"/>
      <c r="N354" s="30"/>
      <c r="O354" s="31"/>
    </row>
    <row r="355" spans="1:15" x14ac:dyDescent="0.65">
      <c r="A355" s="28">
        <v>494</v>
      </c>
      <c r="B355" s="29" t="s">
        <v>114</v>
      </c>
      <c r="C355" s="30">
        <v>100</v>
      </c>
      <c r="D355" s="30">
        <v>19.2</v>
      </c>
      <c r="E355" s="30">
        <v>12.1</v>
      </c>
      <c r="F355" s="30">
        <v>0.7</v>
      </c>
      <c r="G355" s="30">
        <v>188</v>
      </c>
      <c r="H355" s="30">
        <v>0.06</v>
      </c>
      <c r="I355" s="30">
        <v>1.7</v>
      </c>
      <c r="J355" s="30">
        <v>0.03</v>
      </c>
      <c r="K355" s="30">
        <v>163</v>
      </c>
      <c r="L355" s="30">
        <v>39</v>
      </c>
      <c r="M355" s="30">
        <v>1.3</v>
      </c>
      <c r="N355" s="30">
        <v>0</v>
      </c>
      <c r="O355" s="31">
        <v>150</v>
      </c>
    </row>
    <row r="356" spans="1:15" x14ac:dyDescent="0.65">
      <c r="A356" s="28"/>
      <c r="B356" s="29" t="s">
        <v>27</v>
      </c>
      <c r="C356" s="30">
        <v>40</v>
      </c>
      <c r="D356" s="30">
        <v>3.04</v>
      </c>
      <c r="E356" s="30">
        <v>0.48</v>
      </c>
      <c r="F356" s="30">
        <v>16.68</v>
      </c>
      <c r="G356" s="30">
        <v>85.2</v>
      </c>
      <c r="H356" s="30">
        <v>0.05</v>
      </c>
      <c r="I356" s="30">
        <v>0</v>
      </c>
      <c r="J356" s="30">
        <v>0</v>
      </c>
      <c r="K356" s="30">
        <v>10.5</v>
      </c>
      <c r="L356" s="30">
        <v>14</v>
      </c>
      <c r="M356" s="30">
        <v>1.17</v>
      </c>
      <c r="N356" s="30">
        <v>0.42</v>
      </c>
      <c r="O356" s="31">
        <v>47.4</v>
      </c>
    </row>
    <row r="357" spans="1:15" ht="13" thickBot="1" x14ac:dyDescent="0.8">
      <c r="A357" s="23">
        <v>685</v>
      </c>
      <c r="B357" s="49" t="s">
        <v>24</v>
      </c>
      <c r="C357" s="56">
        <v>200</v>
      </c>
      <c r="D357" s="56">
        <v>0.2</v>
      </c>
      <c r="E357" s="56">
        <v>0</v>
      </c>
      <c r="F357" s="56">
        <v>0</v>
      </c>
      <c r="G357" s="56">
        <v>4.5999999999999996</v>
      </c>
      <c r="H357" s="56">
        <v>0.03</v>
      </c>
      <c r="I357" s="56">
        <v>0</v>
      </c>
      <c r="J357" s="56">
        <v>4.0000000000000001E-3</v>
      </c>
      <c r="K357" s="56">
        <v>11.6</v>
      </c>
      <c r="L357" s="56">
        <v>8</v>
      </c>
      <c r="M357" s="56">
        <v>0.84</v>
      </c>
      <c r="N357" s="56">
        <v>1.4</v>
      </c>
      <c r="O357" s="51">
        <v>36</v>
      </c>
    </row>
    <row r="358" spans="1:15" ht="13" thickBot="1" x14ac:dyDescent="0.8">
      <c r="A358" s="52"/>
      <c r="B358" s="53" t="s">
        <v>23</v>
      </c>
      <c r="C358" s="64">
        <f>SUM(C353:C357)</f>
        <v>690</v>
      </c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128"/>
    </row>
    <row r="359" spans="1:15" ht="13" thickBot="1" x14ac:dyDescent="0.8">
      <c r="A359" s="18"/>
      <c r="B359" s="36" t="s">
        <v>43</v>
      </c>
      <c r="C359" s="20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2"/>
    </row>
    <row r="360" spans="1:15" x14ac:dyDescent="0.65">
      <c r="A360" s="28">
        <v>511</v>
      </c>
      <c r="B360" s="55" t="s">
        <v>30</v>
      </c>
      <c r="C360" s="30">
        <v>180</v>
      </c>
      <c r="D360" s="30">
        <f>2.4/100*180</f>
        <v>4.32</v>
      </c>
      <c r="E360" s="30">
        <f>6/100*180</f>
        <v>10.799999999999999</v>
      </c>
      <c r="F360" s="30">
        <f>23.8/100*180</f>
        <v>42.84</v>
      </c>
      <c r="G360" s="30">
        <f>163/100*180</f>
        <v>293.39999999999998</v>
      </c>
      <c r="H360" s="30">
        <v>0.59</v>
      </c>
      <c r="I360" s="30">
        <v>0</v>
      </c>
      <c r="J360" s="30">
        <v>0</v>
      </c>
      <c r="K360" s="30">
        <v>0.13500000000000001</v>
      </c>
      <c r="L360" s="30">
        <v>115.2</v>
      </c>
      <c r="M360" s="30">
        <v>140.80000000000001</v>
      </c>
      <c r="N360" s="30">
        <v>392</v>
      </c>
      <c r="O360" s="31">
        <v>3.59</v>
      </c>
    </row>
    <row r="361" spans="1:15" x14ac:dyDescent="0.65">
      <c r="A361" s="28">
        <v>452</v>
      </c>
      <c r="B361" s="29" t="s">
        <v>113</v>
      </c>
      <c r="C361" s="30">
        <v>100</v>
      </c>
      <c r="D361" s="30">
        <v>11.1</v>
      </c>
      <c r="E361" s="30">
        <v>23.9</v>
      </c>
      <c r="F361" s="30">
        <v>1.6</v>
      </c>
      <c r="G361" s="30">
        <v>266</v>
      </c>
      <c r="H361" s="30">
        <v>0.05</v>
      </c>
      <c r="I361" s="30">
        <v>0</v>
      </c>
      <c r="J361" s="30">
        <v>0</v>
      </c>
      <c r="K361" s="30">
        <v>0</v>
      </c>
      <c r="L361" s="30">
        <v>19</v>
      </c>
      <c r="M361" s="30">
        <v>23.4</v>
      </c>
      <c r="N361" s="30">
        <v>142.69999999999999</v>
      </c>
      <c r="O361" s="31">
        <v>0</v>
      </c>
    </row>
    <row r="362" spans="1:15" x14ac:dyDescent="0.65">
      <c r="A362" s="28">
        <v>707</v>
      </c>
      <c r="B362" s="29" t="s">
        <v>82</v>
      </c>
      <c r="C362" s="30">
        <v>200</v>
      </c>
      <c r="D362" s="30">
        <v>0.6</v>
      </c>
      <c r="E362" s="30">
        <v>0</v>
      </c>
      <c r="F362" s="30">
        <v>36.4</v>
      </c>
      <c r="G362" s="30">
        <v>144</v>
      </c>
      <c r="H362" s="30">
        <v>0.02</v>
      </c>
      <c r="I362" s="30">
        <v>4</v>
      </c>
      <c r="J362" s="30">
        <v>0</v>
      </c>
      <c r="K362" s="30">
        <v>20</v>
      </c>
      <c r="L362" s="30">
        <v>0</v>
      </c>
      <c r="M362" s="30">
        <v>0.2</v>
      </c>
      <c r="N362" s="30">
        <v>0</v>
      </c>
      <c r="O362" s="31">
        <v>0</v>
      </c>
    </row>
    <row r="363" spans="1:15" ht="13" thickBot="1" x14ac:dyDescent="0.8">
      <c r="A363" s="23"/>
      <c r="B363" s="49" t="s">
        <v>27</v>
      </c>
      <c r="C363" s="56">
        <v>40</v>
      </c>
      <c r="D363" s="56">
        <v>3.04</v>
      </c>
      <c r="E363" s="56">
        <v>0.48</v>
      </c>
      <c r="F363" s="56">
        <v>16.68</v>
      </c>
      <c r="G363" s="56">
        <v>85.2</v>
      </c>
      <c r="H363" s="56">
        <v>0.05</v>
      </c>
      <c r="I363" s="56">
        <v>0</v>
      </c>
      <c r="J363" s="56">
        <v>0</v>
      </c>
      <c r="K363" s="56">
        <v>10.5</v>
      </c>
      <c r="L363" s="56">
        <v>14</v>
      </c>
      <c r="M363" s="56">
        <v>1.17</v>
      </c>
      <c r="N363" s="56">
        <v>0.42</v>
      </c>
      <c r="O363" s="51">
        <v>47.4</v>
      </c>
    </row>
    <row r="364" spans="1:15" ht="13" thickBot="1" x14ac:dyDescent="0.8">
      <c r="A364" s="52"/>
      <c r="B364" s="53" t="s">
        <v>23</v>
      </c>
      <c r="C364" s="64">
        <f>SUM(C360:C363)</f>
        <v>520</v>
      </c>
      <c r="D364" s="64">
        <f t="shared" ref="D364:O364" si="47">SUM(D360:D363)</f>
        <v>19.059999999999999</v>
      </c>
      <c r="E364" s="64">
        <f t="shared" si="47"/>
        <v>35.179999999999993</v>
      </c>
      <c r="F364" s="64">
        <f t="shared" si="47"/>
        <v>97.52000000000001</v>
      </c>
      <c r="G364" s="64">
        <f t="shared" si="47"/>
        <v>788.6</v>
      </c>
      <c r="H364" s="64">
        <f t="shared" si="47"/>
        <v>0.71000000000000008</v>
      </c>
      <c r="I364" s="64">
        <f t="shared" si="47"/>
        <v>4</v>
      </c>
      <c r="J364" s="64">
        <f t="shared" si="47"/>
        <v>0</v>
      </c>
      <c r="K364" s="64">
        <f t="shared" si="47"/>
        <v>30.635000000000002</v>
      </c>
      <c r="L364" s="64">
        <f t="shared" si="47"/>
        <v>148.19999999999999</v>
      </c>
      <c r="M364" s="64">
        <f t="shared" si="47"/>
        <v>165.57</v>
      </c>
      <c r="N364" s="64">
        <f t="shared" si="47"/>
        <v>535.12</v>
      </c>
      <c r="O364" s="128">
        <f t="shared" si="47"/>
        <v>50.989999999999995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Интернат и 7-11</vt:lpstr>
    </vt:vector>
  </TitlesOfParts>
  <Company>ПО Шенкурское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Пользователь Windows</cp:lastModifiedBy>
  <cp:lastPrinted>2024-09-16T12:37:19Z</cp:lastPrinted>
  <dcterms:created xsi:type="dcterms:W3CDTF">2017-08-24T12:22:22Z</dcterms:created>
  <dcterms:modified xsi:type="dcterms:W3CDTF">2024-09-16T12:41:25Z</dcterms:modified>
</cp:coreProperties>
</file>